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8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RR">Bonds!$ET$11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FinDB'!$F$5:$F$349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X12" i="1" l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11" i="1"/>
  <c r="BF4" i="42" l="1" a="1"/>
  <c r="BF5" i="42" s="1"/>
  <c r="AL131" i="1"/>
  <c r="AO131" i="1"/>
  <c r="T266" i="1"/>
  <c r="S296" i="1"/>
  <c r="S114" i="1"/>
  <c r="T217" i="1"/>
  <c r="S56" i="1"/>
  <c r="S65" i="1"/>
  <c r="T172" i="1"/>
  <c r="T271" i="1"/>
  <c r="T15" i="1"/>
  <c r="S43" i="1"/>
  <c r="S57" i="1"/>
  <c r="T102" i="1"/>
  <c r="S206" i="1"/>
  <c r="T309" i="1"/>
  <c r="T53" i="1"/>
  <c r="S157" i="1"/>
  <c r="T264" i="1"/>
  <c r="S300" i="1"/>
  <c r="T107" i="1"/>
  <c r="S123" i="1"/>
  <c r="T194" i="1"/>
  <c r="S298" i="1"/>
  <c r="S42" i="1"/>
  <c r="T113" i="1"/>
  <c r="S25" i="1"/>
  <c r="T58" i="1"/>
  <c r="S162" i="1"/>
  <c r="T265" i="1"/>
  <c r="S308" i="1"/>
  <c r="S113" i="1"/>
  <c r="T220" i="1"/>
  <c r="S64" i="1"/>
  <c r="T63" i="1"/>
  <c r="S23" i="1"/>
  <c r="T182" i="1"/>
  <c r="T146" i="1"/>
  <c r="S250" i="1"/>
  <c r="S216" i="1"/>
  <c r="T97" i="1"/>
  <c r="S201" i="1"/>
  <c r="T308" i="1"/>
  <c r="T52" i="1"/>
  <c r="T151" i="1"/>
  <c r="S191" i="1"/>
  <c r="T238" i="1"/>
  <c r="S172" i="1"/>
  <c r="S86" i="1"/>
  <c r="S126" i="1"/>
  <c r="S101" i="1"/>
  <c r="T275" i="1"/>
  <c r="S171" i="1"/>
  <c r="S53" i="1"/>
  <c r="T91" i="1"/>
  <c r="T157" i="1"/>
  <c r="T228" i="1"/>
  <c r="S239" i="1"/>
  <c r="T126" i="1"/>
  <c r="S116" i="1"/>
  <c r="T96" i="1"/>
  <c r="S235" i="1"/>
  <c r="T307" i="1"/>
  <c r="T301" i="1"/>
  <c r="S168" i="1"/>
  <c r="T187" i="1"/>
  <c r="T86" i="1"/>
  <c r="S204" i="1"/>
  <c r="T197" i="1"/>
  <c r="T260" i="1"/>
  <c r="T103" i="1"/>
  <c r="T30" i="1"/>
  <c r="S12" i="1"/>
  <c r="T269" i="1"/>
  <c r="S52" i="1"/>
  <c r="T163" i="1"/>
  <c r="T261" i="1"/>
  <c r="T252" i="1"/>
  <c r="S233" i="1"/>
  <c r="T14" i="1"/>
  <c r="S183" i="1"/>
  <c r="T71" i="1"/>
  <c r="T272" i="1"/>
  <c r="S39" i="1"/>
  <c r="T167" i="1"/>
  <c r="S37" i="1"/>
  <c r="T234" i="1"/>
  <c r="S148" i="1"/>
  <c r="S82" i="1"/>
  <c r="T185" i="1"/>
  <c r="S289" i="1"/>
  <c r="S33" i="1"/>
  <c r="T140" i="1"/>
  <c r="T239" i="1"/>
  <c r="S279" i="1"/>
  <c r="S99" i="1"/>
  <c r="S228" i="1"/>
  <c r="T70" i="1"/>
  <c r="S174" i="1"/>
  <c r="T277" i="1"/>
  <c r="T21" i="1"/>
  <c r="S125" i="1"/>
  <c r="T232" i="1"/>
  <c r="S120" i="1"/>
  <c r="T75" i="1"/>
  <c r="S119" i="1"/>
  <c r="T162" i="1"/>
  <c r="S266" i="1"/>
  <c r="S292" i="1"/>
  <c r="T81" i="1"/>
  <c r="T282" i="1"/>
  <c r="T26" i="1"/>
  <c r="S130" i="1"/>
  <c r="T233" i="1"/>
  <c r="S136" i="1"/>
  <c r="S81" i="1"/>
  <c r="T188" i="1"/>
  <c r="T287" i="1"/>
  <c r="T31" i="1"/>
  <c r="S83" i="1"/>
  <c r="T150" i="1"/>
  <c r="T114" i="1"/>
  <c r="S218" i="1"/>
  <c r="S60" i="1"/>
  <c r="T65" i="1"/>
  <c r="S169" i="1"/>
  <c r="T276" i="1"/>
  <c r="T20" i="1"/>
  <c r="T119" i="1"/>
  <c r="S107" i="1"/>
  <c r="T206" i="1"/>
  <c r="S310" i="1"/>
  <c r="S54" i="1"/>
  <c r="S236" i="1"/>
  <c r="S13" i="1"/>
  <c r="T211" i="1"/>
  <c r="T135" i="1"/>
  <c r="T208" i="1"/>
  <c r="S51" i="1"/>
  <c r="T69" i="1"/>
  <c r="T164" i="1"/>
  <c r="S135" i="1"/>
  <c r="S212" i="1"/>
  <c r="S245" i="1"/>
  <c r="T32" i="1"/>
  <c r="S55" i="1"/>
  <c r="T51" i="1"/>
  <c r="T221" i="1"/>
  <c r="T280" i="1"/>
  <c r="T123" i="1"/>
  <c r="S62" i="1"/>
  <c r="T27" i="1"/>
  <c r="T109" i="1"/>
  <c r="T196" i="1"/>
  <c r="T39" i="1"/>
  <c r="S262" i="1"/>
  <c r="T184" i="1"/>
  <c r="T189" i="1"/>
  <c r="T256" i="1"/>
  <c r="T99" i="1"/>
  <c r="S288" i="1"/>
  <c r="S20" i="1"/>
  <c r="T12" i="1"/>
  <c r="S249" i="1"/>
  <c r="S253" i="1"/>
  <c r="S243" i="1"/>
  <c r="S217" i="1"/>
  <c r="S209" i="1"/>
  <c r="T278" i="1"/>
  <c r="T193" i="1"/>
  <c r="T247" i="1"/>
  <c r="S240" i="1"/>
  <c r="S31" i="1"/>
  <c r="S15" i="1"/>
  <c r="T37" i="1"/>
  <c r="T144" i="1"/>
  <c r="S147" i="1"/>
  <c r="S59" i="1"/>
  <c r="T41" i="1"/>
  <c r="S282" i="1"/>
  <c r="T270" i="1"/>
  <c r="T125" i="1"/>
  <c r="S299" i="1"/>
  <c r="T285" i="1"/>
  <c r="T227" i="1"/>
  <c r="T202" i="1"/>
  <c r="S306" i="1"/>
  <c r="S50" i="1"/>
  <c r="T153" i="1"/>
  <c r="S257" i="1"/>
  <c r="S268" i="1"/>
  <c r="T108" i="1"/>
  <c r="T207" i="1"/>
  <c r="S247" i="1"/>
  <c r="T241" i="1"/>
  <c r="T294" i="1"/>
  <c r="T38" i="1"/>
  <c r="S142" i="1"/>
  <c r="T245" i="1"/>
  <c r="S200" i="1"/>
  <c r="S93" i="1"/>
  <c r="T200" i="1"/>
  <c r="T299" i="1"/>
  <c r="T43" i="1"/>
  <c r="S179" i="1"/>
  <c r="T130" i="1"/>
  <c r="S234" i="1"/>
  <c r="S144" i="1"/>
  <c r="T49" i="1"/>
  <c r="T250" i="1"/>
  <c r="S232" i="1"/>
  <c r="S98" i="1"/>
  <c r="T201" i="1"/>
  <c r="S305" i="1"/>
  <c r="S49" i="1"/>
  <c r="T156" i="1"/>
  <c r="T255" i="1"/>
  <c r="S295" i="1"/>
  <c r="S71" i="1"/>
  <c r="T118" i="1"/>
  <c r="T82" i="1"/>
  <c r="S186" i="1"/>
  <c r="T289" i="1"/>
  <c r="T33" i="1"/>
  <c r="S137" i="1"/>
  <c r="T244" i="1"/>
  <c r="S184" i="1"/>
  <c r="T87" i="1"/>
  <c r="S139" i="1"/>
  <c r="T174" i="1"/>
  <c r="S278" i="1"/>
  <c r="S22" i="1"/>
  <c r="T253" i="1"/>
  <c r="T304" i="1"/>
  <c r="T147" i="1"/>
  <c r="S303" i="1"/>
  <c r="T16" i="1"/>
  <c r="T158" i="1"/>
  <c r="S156" i="1"/>
  <c r="T100" i="1"/>
  <c r="S229" i="1"/>
  <c r="S222" i="1"/>
  <c r="S165" i="1"/>
  <c r="S80" i="1"/>
  <c r="S48" i="1"/>
  <c r="T56" i="1"/>
  <c r="T133" i="1"/>
  <c r="T216" i="1"/>
  <c r="T59" i="1"/>
  <c r="T205" i="1"/>
  <c r="T286" i="1"/>
  <c r="T29" i="1"/>
  <c r="T132" i="1"/>
  <c r="S271" i="1"/>
  <c r="S134" i="1"/>
  <c r="T155" i="1"/>
  <c r="T101" i="1"/>
  <c r="T192" i="1"/>
  <c r="T35" i="1"/>
  <c r="S197" i="1"/>
  <c r="S210" i="1"/>
  <c r="T111" i="1"/>
  <c r="S46" i="1"/>
  <c r="T203" i="1"/>
  <c r="S138" i="1"/>
  <c r="S256" i="1"/>
  <c r="T159" i="1"/>
  <c r="S192" i="1"/>
  <c r="S41" i="1"/>
  <c r="T78" i="1"/>
  <c r="S251" i="1"/>
  <c r="S85" i="1"/>
  <c r="T131" i="1"/>
  <c r="S166" i="1"/>
  <c r="S286" i="1"/>
  <c r="S194" i="1"/>
  <c r="T178" i="1"/>
  <c r="T84" i="1"/>
  <c r="S181" i="1"/>
  <c r="S79" i="1"/>
  <c r="T251" i="1"/>
  <c r="S30" i="1"/>
  <c r="T170" i="1"/>
  <c r="S274" i="1"/>
  <c r="S18" i="1"/>
  <c r="T121" i="1"/>
  <c r="S225" i="1"/>
  <c r="S108" i="1"/>
  <c r="T76" i="1"/>
  <c r="T175" i="1"/>
  <c r="S215" i="1"/>
  <c r="T17" i="1"/>
  <c r="T262" i="1"/>
  <c r="S284" i="1"/>
  <c r="S110" i="1"/>
  <c r="T213" i="1"/>
  <c r="S36" i="1"/>
  <c r="S61" i="1"/>
  <c r="T168" i="1"/>
  <c r="T267" i="1"/>
  <c r="S307" i="1"/>
  <c r="S167" i="1"/>
  <c r="T98" i="1"/>
  <c r="S202" i="1"/>
  <c r="T305" i="1"/>
  <c r="S176" i="1"/>
  <c r="T218" i="1"/>
  <c r="S72" i="1"/>
  <c r="S66" i="1"/>
  <c r="T169" i="1"/>
  <c r="S273" i="1"/>
  <c r="S17" i="1"/>
  <c r="T124" i="1"/>
  <c r="T223" i="1"/>
  <c r="S263" i="1"/>
  <c r="S11" i="1"/>
  <c r="T306" i="1"/>
  <c r="T50" i="1"/>
  <c r="S154" i="1"/>
  <c r="T257" i="1"/>
  <c r="S260" i="1"/>
  <c r="S105" i="1"/>
  <c r="T212" i="1"/>
  <c r="S24" i="1"/>
  <c r="T55" i="1"/>
  <c r="S175" i="1"/>
  <c r="T142" i="1"/>
  <c r="S246" i="1"/>
  <c r="S196" i="1"/>
  <c r="T165" i="1"/>
  <c r="T240" i="1"/>
  <c r="T83" i="1"/>
  <c r="S63" i="1"/>
  <c r="T179" i="1"/>
  <c r="S248" i="1"/>
  <c r="S261" i="1"/>
  <c r="T36" i="1"/>
  <c r="T80" i="1"/>
  <c r="S94" i="1"/>
  <c r="S77" i="1"/>
  <c r="T259" i="1"/>
  <c r="S190" i="1"/>
  <c r="S259" i="1"/>
  <c r="T45" i="1"/>
  <c r="T152" i="1"/>
  <c r="S291" i="1"/>
  <c r="S309" i="1"/>
  <c r="T62" i="1"/>
  <c r="S301" i="1"/>
  <c r="T68" i="1"/>
  <c r="S207" i="1"/>
  <c r="S276" i="1"/>
  <c r="T254" i="1"/>
  <c r="T13" i="1"/>
  <c r="T128" i="1"/>
  <c r="S267" i="1"/>
  <c r="S21" i="1"/>
  <c r="T57" i="1"/>
  <c r="T268" i="1"/>
  <c r="T198" i="1"/>
  <c r="S252" i="1"/>
  <c r="T34" i="1"/>
  <c r="T154" i="1"/>
  <c r="S32" i="1"/>
  <c r="S199" i="1"/>
  <c r="S90" i="1"/>
  <c r="S287" i="1"/>
  <c r="S182" i="1"/>
  <c r="S187" i="1"/>
  <c r="T263" i="1"/>
  <c r="S88" i="1"/>
  <c r="S47" i="1"/>
  <c r="T295" i="1"/>
  <c r="S244" i="1"/>
  <c r="S145" i="1"/>
  <c r="S26" i="1"/>
  <c r="S223" i="1"/>
  <c r="T120" i="1"/>
  <c r="T160" i="1"/>
  <c r="S68" i="1"/>
  <c r="T11" i="1"/>
  <c r="T138" i="1"/>
  <c r="S242" i="1"/>
  <c r="S180" i="1"/>
  <c r="T89" i="1"/>
  <c r="S193" i="1"/>
  <c r="T300" i="1"/>
  <c r="T44" i="1"/>
  <c r="T143" i="1"/>
  <c r="S127" i="1"/>
  <c r="S16" i="1"/>
  <c r="T230" i="1"/>
  <c r="S128" i="1"/>
  <c r="S78" i="1"/>
  <c r="T181" i="1"/>
  <c r="S285" i="1"/>
  <c r="S29" i="1"/>
  <c r="T136" i="1"/>
  <c r="T235" i="1"/>
  <c r="S275" i="1"/>
  <c r="S67" i="1"/>
  <c r="T66" i="1"/>
  <c r="S170" i="1"/>
  <c r="T273" i="1"/>
  <c r="S281" i="1"/>
  <c r="T186" i="1"/>
  <c r="S290" i="1"/>
  <c r="S34" i="1"/>
  <c r="T137" i="1"/>
  <c r="S241" i="1"/>
  <c r="S188" i="1"/>
  <c r="T92" i="1"/>
  <c r="T191" i="1"/>
  <c r="S231" i="1"/>
  <c r="T310" i="1"/>
  <c r="T274" i="1"/>
  <c r="T18" i="1"/>
  <c r="S122" i="1"/>
  <c r="T225" i="1"/>
  <c r="S96" i="1"/>
  <c r="S73" i="1"/>
  <c r="T180" i="1"/>
  <c r="T279" i="1"/>
  <c r="T23" i="1"/>
  <c r="S111" i="1"/>
  <c r="T110" i="1"/>
  <c r="S214" i="1"/>
  <c r="S40" i="1"/>
  <c r="T77" i="1"/>
  <c r="T176" i="1"/>
  <c r="T19" i="1"/>
  <c r="S87" i="1"/>
  <c r="S283" i="1"/>
  <c r="S230" i="1"/>
  <c r="S173" i="1"/>
  <c r="S100" i="1"/>
  <c r="T115" i="1"/>
  <c r="S84" i="1"/>
  <c r="S208" i="1"/>
  <c r="T195" i="1"/>
  <c r="T293" i="1"/>
  <c r="T94" i="1"/>
  <c r="S76" i="1"/>
  <c r="T88" i="1"/>
  <c r="S227" i="1"/>
  <c r="S132" i="1"/>
  <c r="S294" i="1"/>
  <c r="S213" i="1"/>
  <c r="S272" i="1"/>
  <c r="S91" i="1"/>
  <c r="T173" i="1"/>
  <c r="T54" i="1"/>
  <c r="S293" i="1"/>
  <c r="T64" i="1"/>
  <c r="S203" i="1"/>
  <c r="T248" i="1"/>
  <c r="T106" i="1"/>
  <c r="S161" i="1"/>
  <c r="S155" i="1"/>
  <c r="S302" i="1"/>
  <c r="T149" i="1"/>
  <c r="T104" i="1"/>
  <c r="T290" i="1"/>
  <c r="T209" i="1"/>
  <c r="S258" i="1"/>
  <c r="T105" i="1"/>
  <c r="T60" i="1"/>
  <c r="T242" i="1"/>
  <c r="S297" i="1"/>
  <c r="T148" i="1"/>
  <c r="S163" i="1"/>
  <c r="T190" i="1"/>
  <c r="T112" i="1"/>
  <c r="S102" i="1"/>
  <c r="T229" i="1"/>
  <c r="T288" i="1"/>
  <c r="S237" i="1"/>
  <c r="T24" i="1"/>
  <c r="S133" i="1"/>
  <c r="T93" i="1"/>
  <c r="S205" i="1"/>
  <c r="T283" i="1"/>
  <c r="T90" i="1"/>
  <c r="S27" i="1"/>
  <c r="T129" i="1"/>
  <c r="T183" i="1"/>
  <c r="S118" i="1"/>
  <c r="S164" i="1"/>
  <c r="T237" i="1"/>
  <c r="T61" i="1"/>
  <c r="S70" i="1"/>
  <c r="S219" i="1"/>
  <c r="T222" i="1"/>
  <c r="T74" i="1"/>
  <c r="S178" i="1"/>
  <c r="T281" i="1"/>
  <c r="T25" i="1"/>
  <c r="S129" i="1"/>
  <c r="T236" i="1"/>
  <c r="S140" i="1"/>
  <c r="T79" i="1"/>
  <c r="S151" i="1"/>
  <c r="S185" i="1"/>
  <c r="T166" i="1"/>
  <c r="S270" i="1"/>
  <c r="S14" i="1"/>
  <c r="T117" i="1"/>
  <c r="S221" i="1"/>
  <c r="S92" i="1"/>
  <c r="T72" i="1"/>
  <c r="T171" i="1"/>
  <c r="S211" i="1"/>
  <c r="T258" i="1"/>
  <c r="S264" i="1"/>
  <c r="S106" i="1"/>
  <c r="T177" i="1"/>
  <c r="S153" i="1"/>
  <c r="T122" i="1"/>
  <c r="S226" i="1"/>
  <c r="S104" i="1"/>
  <c r="T73" i="1"/>
  <c r="S177" i="1"/>
  <c r="T284" i="1"/>
  <c r="T28" i="1"/>
  <c r="T127" i="1"/>
  <c r="S143" i="1"/>
  <c r="T246" i="1"/>
  <c r="T210" i="1"/>
  <c r="S28" i="1"/>
  <c r="S58" i="1"/>
  <c r="T161" i="1"/>
  <c r="S265" i="1"/>
  <c r="S304" i="1"/>
  <c r="T116" i="1"/>
  <c r="T215" i="1"/>
  <c r="S255" i="1"/>
  <c r="T302" i="1"/>
  <c r="T46" i="1"/>
  <c r="S150" i="1"/>
  <c r="T22" i="1"/>
  <c r="S269" i="1"/>
  <c r="T48" i="1"/>
  <c r="S159" i="1"/>
  <c r="S103" i="1"/>
  <c r="S131" i="1"/>
  <c r="S124" i="1"/>
  <c r="S280" i="1"/>
  <c r="T199" i="1"/>
  <c r="T219" i="1"/>
  <c r="T141" i="1"/>
  <c r="T224" i="1"/>
  <c r="T67" i="1"/>
  <c r="S141" i="1"/>
  <c r="S198" i="1"/>
  <c r="S149" i="1"/>
  <c r="S44" i="1"/>
  <c r="S19" i="1"/>
  <c r="T243" i="1"/>
  <c r="S38" i="1"/>
  <c r="S45" i="1"/>
  <c r="T231" i="1"/>
  <c r="S35" i="1"/>
  <c r="S277" i="1"/>
  <c r="S158" i="1"/>
  <c r="S117" i="1"/>
  <c r="T291" i="1"/>
  <c r="S115" i="1"/>
  <c r="S195" i="1"/>
  <c r="T298" i="1"/>
  <c r="T42" i="1"/>
  <c r="S146" i="1"/>
  <c r="T249" i="1"/>
  <c r="S220" i="1"/>
  <c r="S97" i="1"/>
  <c r="T204" i="1"/>
  <c r="T303" i="1"/>
  <c r="T47" i="1"/>
  <c r="S75" i="1"/>
  <c r="S121" i="1"/>
  <c r="T134" i="1"/>
  <c r="S238" i="1"/>
  <c r="S160" i="1"/>
  <c r="T85" i="1"/>
  <c r="S189" i="1"/>
  <c r="T296" i="1"/>
  <c r="T40" i="1"/>
  <c r="T139" i="1"/>
  <c r="S95" i="1"/>
  <c r="T226" i="1"/>
  <c r="S112" i="1"/>
  <c r="S74" i="1"/>
  <c r="T145" i="1"/>
  <c r="S89" i="1"/>
  <c r="T297" i="1"/>
  <c r="S224" i="1"/>
  <c r="T95" i="1"/>
  <c r="T214" i="1"/>
  <c r="S152" i="1"/>
  <c r="S254" i="1"/>
  <c r="T292" i="1"/>
  <c r="S69" i="1"/>
  <c r="S109" i="1"/>
  <c r="BG76" i="42" l="1"/>
  <c r="BG68" i="42"/>
  <c r="BG64" i="42"/>
  <c r="BG56" i="42"/>
  <c r="BG52" i="42"/>
  <c r="BG48" i="42"/>
  <c r="BG44" i="42"/>
  <c r="BG40" i="42"/>
  <c r="BG36" i="42"/>
  <c r="BG32" i="42"/>
  <c r="BG24" i="42"/>
  <c r="BG20" i="42"/>
  <c r="BG16" i="42"/>
  <c r="BG12" i="42"/>
  <c r="BG4" i="42"/>
  <c r="BF80" i="42"/>
  <c r="BF76" i="42"/>
  <c r="BF72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79" i="42"/>
  <c r="BG75" i="42"/>
  <c r="BG71" i="42"/>
  <c r="BG67" i="42"/>
  <c r="BG63" i="42"/>
  <c r="BG59" i="42"/>
  <c r="BG55" i="42"/>
  <c r="BG51" i="42"/>
  <c r="BG47" i="42"/>
  <c r="BG43" i="42"/>
  <c r="BG39" i="42"/>
  <c r="BG35" i="42"/>
  <c r="BG31" i="42"/>
  <c r="BG27" i="42"/>
  <c r="BG23" i="42"/>
  <c r="BG19" i="42"/>
  <c r="BG15" i="42"/>
  <c r="BG11" i="42"/>
  <c r="BG7" i="42"/>
  <c r="BF79" i="42"/>
  <c r="BF75" i="42"/>
  <c r="BF71" i="42"/>
  <c r="BF67" i="42"/>
  <c r="BF63" i="42"/>
  <c r="BF59" i="42"/>
  <c r="BF55" i="42"/>
  <c r="BF51" i="42"/>
  <c r="BF47" i="42"/>
  <c r="BF43" i="42"/>
  <c r="BF39" i="42"/>
  <c r="BF35" i="42"/>
  <c r="BF31" i="42"/>
  <c r="BF27" i="42"/>
  <c r="BF23" i="42"/>
  <c r="BF19" i="42"/>
  <c r="BF15" i="42"/>
  <c r="BF11" i="42"/>
  <c r="BF7" i="42"/>
  <c r="BG72" i="42"/>
  <c r="BG28" i="42"/>
  <c r="BG74" i="42"/>
  <c r="BG66" i="42"/>
  <c r="BG62" i="42"/>
  <c r="BG54" i="42"/>
  <c r="BG46" i="42"/>
  <c r="BG38" i="42"/>
  <c r="BG30" i="42"/>
  <c r="BG22" i="42"/>
  <c r="BG10" i="42"/>
  <c r="BF70" i="42"/>
  <c r="BF50" i="42"/>
  <c r="BF42" i="42"/>
  <c r="BF34" i="42"/>
  <c r="BF22" i="42"/>
  <c r="BF6" i="42"/>
  <c r="BG77" i="42"/>
  <c r="BG73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G80" i="42"/>
  <c r="BG60" i="42"/>
  <c r="BG8" i="42"/>
  <c r="BG78" i="42"/>
  <c r="BG70" i="42"/>
  <c r="BG58" i="42"/>
  <c r="BG50" i="42"/>
  <c r="BG42" i="42"/>
  <c r="BG34" i="42"/>
  <c r="BG26" i="42"/>
  <c r="BG18" i="42"/>
  <c r="BG14" i="42"/>
  <c r="BG6" i="42"/>
  <c r="BF78" i="42"/>
  <c r="BF74" i="42"/>
  <c r="BF66" i="42"/>
  <c r="BF62" i="42"/>
  <c r="BF58" i="42"/>
  <c r="BF54" i="42"/>
  <c r="BF46" i="42"/>
  <c r="BF38" i="42"/>
  <c r="BF30" i="42"/>
  <c r="BF26" i="42"/>
  <c r="BF18" i="42"/>
  <c r="BF14" i="42"/>
  <c r="BF10" i="42"/>
  <c r="BF77" i="42"/>
  <c r="BF73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G6" i="38" l="1"/>
  <c r="G4" i="38"/>
  <c r="J55" i="43" a="1"/>
  <c r="U55" i="43"/>
  <c r="G55" i="43"/>
  <c r="C46" i="41"/>
  <c r="M55" i="43" l="1"/>
  <c r="O55" i="43"/>
  <c r="N55" i="43"/>
  <c r="Q55" i="43"/>
  <c r="J55" i="43"/>
  <c r="R55" i="43"/>
  <c r="K55" i="43"/>
  <c r="S55" i="43"/>
  <c r="L55" i="43"/>
  <c r="T55" i="43"/>
  <c r="P55" i="43"/>
  <c r="B41" i="44"/>
  <c r="U244" i="43"/>
  <c r="J245" i="43" a="1"/>
  <c r="J244" i="43" a="1"/>
  <c r="U245" i="43"/>
  <c r="I41" i="44"/>
  <c r="AS6" i="1"/>
  <c r="D41" i="44"/>
  <c r="AS4" i="1"/>
  <c r="G41" i="44"/>
  <c r="AS5" i="1"/>
  <c r="F41" i="44"/>
  <c r="J41" i="44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H41" i="44"/>
  <c r="B40" i="44"/>
  <c r="D40" i="44"/>
  <c r="F40" i="44"/>
  <c r="G40" i="44"/>
  <c r="J40" i="44"/>
  <c r="I40" i="44"/>
  <c r="H40" i="44" l="1"/>
  <c r="B39" i="44"/>
  <c r="F39" i="44"/>
  <c r="I39" i="44"/>
  <c r="D39" i="44"/>
  <c r="G39" i="44"/>
  <c r="J39" i="44"/>
  <c r="H39" i="44" l="1"/>
  <c r="B38" i="44"/>
  <c r="F38" i="44"/>
  <c r="J38" i="44"/>
  <c r="D38" i="44"/>
  <c r="I38" i="44"/>
  <c r="G38" i="44"/>
  <c r="H38" i="44" l="1"/>
  <c r="B37" i="44"/>
  <c r="D37" i="44"/>
  <c r="I37" i="44"/>
  <c r="F37" i="44"/>
  <c r="G37" i="44"/>
  <c r="J37" i="44"/>
  <c r="H37" i="44" l="1"/>
  <c r="B36" i="44"/>
  <c r="G36" i="44"/>
  <c r="F36" i="44"/>
  <c r="I36" i="44"/>
  <c r="J36" i="44"/>
  <c r="D36" i="44"/>
  <c r="H36" i="44" l="1"/>
  <c r="B35" i="44"/>
  <c r="F35" i="44"/>
  <c r="I35" i="44"/>
  <c r="D35" i="44"/>
  <c r="G35" i="44"/>
  <c r="J35" i="44"/>
  <c r="H35" i="44" l="1"/>
  <c r="B34" i="44"/>
  <c r="G34" i="44"/>
  <c r="D34" i="44"/>
  <c r="F34" i="44"/>
  <c r="J34" i="44"/>
  <c r="I34" i="44"/>
  <c r="H34" i="44" l="1"/>
  <c r="B33" i="44"/>
  <c r="I33" i="44"/>
  <c r="G33" i="44"/>
  <c r="D33" i="44"/>
  <c r="F33" i="44"/>
  <c r="J33" i="44"/>
  <c r="H33" i="44" l="1"/>
  <c r="B32" i="44"/>
  <c r="J32" i="44"/>
  <c r="I32" i="44"/>
  <c r="F32" i="44"/>
  <c r="D32" i="44"/>
  <c r="G32" i="44"/>
  <c r="H32" i="44" l="1"/>
  <c r="B31" i="44"/>
  <c r="G31" i="44"/>
  <c r="F31" i="44"/>
  <c r="I31" i="44"/>
  <c r="D31" i="44"/>
  <c r="J31" i="44"/>
  <c r="H31" i="44" l="1"/>
  <c r="B30" i="44"/>
  <c r="F30" i="44"/>
  <c r="D30" i="44"/>
  <c r="G30" i="44"/>
  <c r="J30" i="44"/>
  <c r="I30" i="44"/>
  <c r="H30" i="44" l="1"/>
  <c r="B29" i="44"/>
  <c r="J29" i="44"/>
  <c r="I29" i="44"/>
  <c r="D29" i="44"/>
  <c r="F29" i="44"/>
  <c r="G29" i="44"/>
  <c r="H29" i="44" l="1"/>
  <c r="B28" i="44"/>
  <c r="G28" i="44"/>
  <c r="I28" i="44"/>
  <c r="F28" i="44"/>
  <c r="J28" i="44"/>
  <c r="D28" i="44"/>
  <c r="H28" i="44" l="1"/>
  <c r="B27" i="44"/>
  <c r="F27" i="44"/>
  <c r="I27" i="44"/>
  <c r="D27" i="44"/>
  <c r="G27" i="44"/>
  <c r="J27" i="44"/>
  <c r="H27" i="44" l="1"/>
  <c r="B26" i="44"/>
  <c r="G26" i="44"/>
  <c r="J26" i="44"/>
  <c r="F26" i="44"/>
  <c r="D26" i="44"/>
  <c r="I26" i="44"/>
  <c r="H26" i="44" l="1"/>
  <c r="B25" i="44"/>
  <c r="D25" i="44"/>
  <c r="F25" i="44"/>
  <c r="J25" i="44"/>
  <c r="G25" i="44"/>
  <c r="I25" i="44"/>
  <c r="H25" i="44" l="1"/>
  <c r="B24" i="44"/>
  <c r="X15" i="44"/>
  <c r="W15" i="44"/>
  <c r="J24" i="44"/>
  <c r="F24" i="44"/>
  <c r="I24" i="44"/>
  <c r="D24" i="44"/>
  <c r="G24" i="44"/>
  <c r="H24" i="44" l="1"/>
  <c r="B15" i="44"/>
  <c r="M15" i="44"/>
  <c r="W14" i="44"/>
  <c r="X14" i="44"/>
  <c r="N15" i="44"/>
  <c r="Y15" i="44"/>
  <c r="K15" i="44"/>
  <c r="F15" i="44"/>
  <c r="D15" i="44"/>
  <c r="I15" i="44"/>
  <c r="G15" i="44"/>
  <c r="J15" i="44"/>
  <c r="E15" i="44"/>
  <c r="Z15" i="44"/>
  <c r="H15" i="44" l="1"/>
  <c r="Q15" i="44"/>
  <c r="M14" i="44"/>
  <c r="N14" i="44"/>
  <c r="S15" i="44" l="1"/>
  <c r="T15" i="44" s="1"/>
  <c r="R15" i="44"/>
  <c r="U15" i="44" s="1"/>
  <c r="V15" i="44" s="1"/>
  <c r="O15" i="44" l="1"/>
  <c r="P15" i="44" s="1"/>
  <c r="B14" i="44"/>
  <c r="X13" i="44"/>
  <c r="W13" i="44"/>
  <c r="Y14" i="44"/>
  <c r="G14" i="44"/>
  <c r="K14" i="44"/>
  <c r="I14" i="44"/>
  <c r="Z14" i="44"/>
  <c r="F14" i="44"/>
  <c r="J14" i="44"/>
  <c r="D14" i="44"/>
  <c r="E14" i="44"/>
  <c r="H14" i="44" l="1"/>
  <c r="Q14" i="44"/>
  <c r="N13" i="44"/>
  <c r="M13" i="44"/>
  <c r="S14" i="44" l="1"/>
  <c r="T14" i="44" s="1"/>
  <c r="R14" i="44"/>
  <c r="U14" i="44" s="1"/>
  <c r="V14" i="44" s="1"/>
  <c r="O14" i="44" l="1"/>
  <c r="P14" i="44" s="1"/>
  <c r="B13" i="44"/>
  <c r="X12" i="44"/>
  <c r="W12" i="44"/>
  <c r="J13" i="44"/>
  <c r="D13" i="44"/>
  <c r="G13" i="44"/>
  <c r="Z13" i="44"/>
  <c r="E13" i="44"/>
  <c r="K13" i="44"/>
  <c r="Y13" i="44"/>
  <c r="I13" i="44"/>
  <c r="F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X11" i="44"/>
  <c r="W11" i="44"/>
  <c r="K12" i="44"/>
  <c r="E12" i="44"/>
  <c r="Z12" i="44"/>
  <c r="I12" i="44"/>
  <c r="D12" i="44"/>
  <c r="Y12" i="44"/>
  <c r="F12" i="44"/>
  <c r="G12" i="44"/>
  <c r="J12" i="44"/>
  <c r="H12" i="44" l="1"/>
  <c r="Q12" i="44"/>
  <c r="N11" i="44"/>
  <c r="M11" i="44"/>
  <c r="S12" i="44" l="1"/>
  <c r="T12" i="44" s="1"/>
  <c r="R12" i="44"/>
  <c r="U12" i="44" s="1"/>
  <c r="V12" i="44" s="1"/>
  <c r="O12" i="44" l="1"/>
  <c r="P12" i="44" s="1"/>
  <c r="B11" i="44"/>
  <c r="W10" i="44"/>
  <c r="X10" i="44"/>
  <c r="J11" i="44"/>
  <c r="E11" i="44"/>
  <c r="G11" i="44"/>
  <c r="F11" i="44"/>
  <c r="Z11" i="44"/>
  <c r="Y11" i="44"/>
  <c r="D11" i="44"/>
  <c r="K11" i="44"/>
  <c r="I11" i="44"/>
  <c r="H11" i="44" l="1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W9" i="44"/>
  <c r="X9" i="44"/>
  <c r="G10" i="44"/>
  <c r="I10" i="44"/>
  <c r="J10" i="44"/>
  <c r="D10" i="44"/>
  <c r="E10" i="44"/>
  <c r="Y10" i="44"/>
  <c r="K10" i="44"/>
  <c r="F10" i="44"/>
  <c r="Z10" i="44"/>
  <c r="H10" i="44" l="1"/>
  <c r="Q10" i="44"/>
  <c r="N9" i="44"/>
  <c r="M9" i="44"/>
  <c r="S10" i="44" l="1"/>
  <c r="T10" i="44" s="1"/>
  <c r="R10" i="44"/>
  <c r="U10" i="44" s="1"/>
  <c r="V10" i="44" s="1"/>
  <c r="B9" i="44"/>
  <c r="W8" i="44"/>
  <c r="X8" i="44"/>
  <c r="F9" i="44"/>
  <c r="J9" i="44"/>
  <c r="Y9" i="44"/>
  <c r="K9" i="44"/>
  <c r="Z9" i="44"/>
  <c r="G9" i="44"/>
  <c r="E9" i="44"/>
  <c r="I9" i="44"/>
  <c r="D9" i="44"/>
  <c r="O10" i="44" l="1"/>
  <c r="P10" i="44" s="1"/>
  <c r="H9" i="44"/>
  <c r="Q9" i="44"/>
  <c r="M8" i="44"/>
  <c r="N8" i="44"/>
  <c r="S9" i="44" l="1"/>
  <c r="T9" i="44" s="1"/>
  <c r="R9" i="44"/>
  <c r="U9" i="44" s="1"/>
  <c r="V9" i="44" s="1"/>
  <c r="O9" i="44" l="1"/>
  <c r="P9" i="44" s="1"/>
  <c r="B8" i="44"/>
  <c r="X7" i="44"/>
  <c r="W7" i="44"/>
  <c r="E8" i="44"/>
  <c r="I8" i="44"/>
  <c r="Z8" i="44"/>
  <c r="Y8" i="44"/>
  <c r="K8" i="44"/>
  <c r="F8" i="44"/>
  <c r="D8" i="44"/>
  <c r="J8" i="44"/>
  <c r="G8" i="44"/>
  <c r="H8" i="44" l="1"/>
  <c r="Q8" i="44"/>
  <c r="N7" i="44"/>
  <c r="M7" i="44"/>
  <c r="S8" i="44" l="1"/>
  <c r="T8" i="44" s="1"/>
  <c r="R8" i="44"/>
  <c r="U8" i="44" s="1"/>
  <c r="V8" i="44" s="1"/>
  <c r="O8" i="44" l="1"/>
  <c r="P8" i="44" s="1"/>
  <c r="B7" i="44"/>
  <c r="X6" i="44"/>
  <c r="W6" i="44"/>
  <c r="E7" i="44"/>
  <c r="Z7" i="44"/>
  <c r="G7" i="44"/>
  <c r="K7" i="44"/>
  <c r="F7" i="44"/>
  <c r="J7" i="44"/>
  <c r="D7" i="44"/>
  <c r="I7" i="44"/>
  <c r="Y7" i="44"/>
  <c r="H7" i="44" l="1"/>
  <c r="Q7" i="44"/>
  <c r="N6" i="44"/>
  <c r="M6" i="44"/>
  <c r="S7" i="44" l="1"/>
  <c r="T7" i="44" s="1"/>
  <c r="R7" i="44"/>
  <c r="U7" i="44" s="1"/>
  <c r="V7" i="44" s="1"/>
  <c r="O7" i="44" l="1"/>
  <c r="P7" i="44" s="1"/>
  <c r="B6" i="44"/>
  <c r="U350" i="43"/>
  <c r="U349" i="43"/>
  <c r="J350" i="43" a="1"/>
  <c r="Y6" i="44"/>
  <c r="K6" i="44"/>
  <c r="Z1" i="44"/>
  <c r="E6" i="44"/>
  <c r="D6" i="44"/>
  <c r="AA1" i="44"/>
  <c r="F6" i="44"/>
  <c r="J6" i="44"/>
  <c r="Z6" i="44"/>
  <c r="I6" i="44"/>
  <c r="G6" i="44"/>
  <c r="AB15" i="44" l="1"/>
  <c r="L15" i="44" s="1"/>
  <c r="AA15" i="44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B7" i="44"/>
  <c r="L7" i="44" s="1"/>
  <c r="AA7" i="44"/>
  <c r="H6" i="44"/>
  <c r="AB6" i="44"/>
  <c r="AA6" i="44"/>
  <c r="Q6" i="44"/>
  <c r="T350" i="43"/>
  <c r="L350" i="43"/>
  <c r="R350" i="43"/>
  <c r="O350" i="43"/>
  <c r="M350" i="43"/>
  <c r="S350" i="43"/>
  <c r="K350" i="43"/>
  <c r="J350" i="43"/>
  <c r="P350" i="43"/>
  <c r="N350" i="43"/>
  <c r="Q350" i="43"/>
  <c r="J349" i="43" a="1"/>
  <c r="L6" i="44" l="1"/>
  <c r="S6" i="44"/>
  <c r="T6" i="44" s="1"/>
  <c r="R6" i="44"/>
  <c r="U6" i="44" s="1"/>
  <c r="V6" i="44" s="1"/>
  <c r="O349" i="43"/>
  <c r="M349" i="43"/>
  <c r="S349" i="43"/>
  <c r="Q349" i="43"/>
  <c r="N349" i="43"/>
  <c r="T349" i="43"/>
  <c r="R349" i="43"/>
  <c r="P349" i="43"/>
  <c r="L349" i="43"/>
  <c r="K349" i="43"/>
  <c r="J349" i="43"/>
  <c r="G349" i="43"/>
  <c r="J348" i="43" a="1"/>
  <c r="U348" i="43"/>
  <c r="O6" i="44" l="1"/>
  <c r="P6" i="44" s="1"/>
  <c r="T348" i="43"/>
  <c r="L348" i="43"/>
  <c r="S348" i="43"/>
  <c r="K348" i="43"/>
  <c r="R348" i="43"/>
  <c r="J348" i="43"/>
  <c r="Q348" i="43"/>
  <c r="P348" i="43"/>
  <c r="O348" i="43"/>
  <c r="N348" i="43"/>
  <c r="M348" i="43"/>
  <c r="G348" i="43"/>
  <c r="J347" i="43" a="1"/>
  <c r="U347" i="43"/>
  <c r="T347" i="43" l="1"/>
  <c r="L347" i="43"/>
  <c r="S347" i="43"/>
  <c r="K347" i="43"/>
  <c r="R347" i="43"/>
  <c r="J347" i="43"/>
  <c r="Q347" i="43"/>
  <c r="P347" i="43"/>
  <c r="O347" i="43"/>
  <c r="N347" i="43"/>
  <c r="M347" i="43"/>
  <c r="G347" i="43"/>
  <c r="J346" i="43" a="1"/>
  <c r="U346" i="43"/>
  <c r="T346" i="43" l="1"/>
  <c r="L346" i="43"/>
  <c r="S346" i="43"/>
  <c r="K346" i="43"/>
  <c r="R346" i="43"/>
  <c r="J346" i="43"/>
  <c r="Q346" i="43"/>
  <c r="P346" i="43"/>
  <c r="N346" i="43"/>
  <c r="M346" i="43"/>
  <c r="O346" i="43"/>
  <c r="G346" i="43"/>
  <c r="U345" i="43"/>
  <c r="J345" i="43" a="1"/>
  <c r="T345" i="43" l="1"/>
  <c r="L345" i="43"/>
  <c r="S345" i="43"/>
  <c r="K345" i="43"/>
  <c r="R345" i="43"/>
  <c r="J345" i="43"/>
  <c r="Q345" i="43"/>
  <c r="P345" i="43"/>
  <c r="O345" i="43"/>
  <c r="N345" i="43"/>
  <c r="M345" i="43"/>
  <c r="G345" i="43"/>
  <c r="U344" i="43"/>
  <c r="J344" i="43" a="1"/>
  <c r="T344" i="43" l="1"/>
  <c r="L344" i="43"/>
  <c r="S344" i="43"/>
  <c r="K344" i="43"/>
  <c r="R344" i="43"/>
  <c r="J344" i="43"/>
  <c r="Q344" i="43"/>
  <c r="P344" i="43"/>
  <c r="O344" i="43"/>
  <c r="N344" i="43"/>
  <c r="M344" i="43"/>
  <c r="G344" i="43"/>
  <c r="J343" i="43" a="1"/>
  <c r="U343" i="43"/>
  <c r="T343" i="43" l="1"/>
  <c r="L343" i="43"/>
  <c r="Q343" i="43"/>
  <c r="M343" i="43"/>
  <c r="S343" i="43"/>
  <c r="K343" i="43"/>
  <c r="R343" i="43"/>
  <c r="J343" i="43"/>
  <c r="P343" i="43"/>
  <c r="O343" i="43"/>
  <c r="N343" i="43"/>
  <c r="G343" i="43"/>
  <c r="U342" i="43"/>
  <c r="J342" i="43" a="1"/>
  <c r="T342" i="43" l="1"/>
  <c r="L342" i="43"/>
  <c r="R342" i="43"/>
  <c r="O342" i="43"/>
  <c r="S342" i="43"/>
  <c r="K342" i="43"/>
  <c r="J342" i="43"/>
  <c r="Q342" i="43"/>
  <c r="P342" i="43"/>
  <c r="N342" i="43"/>
  <c r="M342" i="43"/>
  <c r="G342" i="43"/>
  <c r="J341" i="43" a="1"/>
  <c r="U341" i="43"/>
  <c r="T341" i="43" l="1"/>
  <c r="L341" i="43"/>
  <c r="S341" i="43"/>
  <c r="K341" i="43"/>
  <c r="R341" i="43"/>
  <c r="J341" i="43"/>
  <c r="Q341" i="43"/>
  <c r="P341" i="43"/>
  <c r="O341" i="43"/>
  <c r="N341" i="43"/>
  <c r="M341" i="43"/>
  <c r="G341" i="43"/>
  <c r="J340" i="43" a="1"/>
  <c r="U340" i="43"/>
  <c r="T340" i="43" l="1"/>
  <c r="L340" i="43"/>
  <c r="S340" i="43"/>
  <c r="K340" i="43"/>
  <c r="R340" i="43"/>
  <c r="J340" i="43"/>
  <c r="Q340" i="43"/>
  <c r="P340" i="43"/>
  <c r="O340" i="43"/>
  <c r="N340" i="43"/>
  <c r="M340" i="43"/>
  <c r="G340" i="43"/>
  <c r="U339" i="43"/>
  <c r="J339" i="43" a="1"/>
  <c r="T339" i="43" l="1"/>
  <c r="L339" i="43"/>
  <c r="S339" i="43"/>
  <c r="K339" i="43"/>
  <c r="R339" i="43"/>
  <c r="J339" i="43"/>
  <c r="Q339" i="43"/>
  <c r="P339" i="43"/>
  <c r="O339" i="43"/>
  <c r="N339" i="43"/>
  <c r="M339" i="43"/>
  <c r="G339" i="43"/>
  <c r="U338" i="43"/>
  <c r="J338" i="43" a="1"/>
  <c r="T338" i="43" l="1"/>
  <c r="L338" i="43"/>
  <c r="S338" i="43"/>
  <c r="K338" i="43"/>
  <c r="R338" i="43"/>
  <c r="J338" i="43"/>
  <c r="Q338" i="43"/>
  <c r="P338" i="43"/>
  <c r="O338" i="43"/>
  <c r="N338" i="43"/>
  <c r="M338" i="43"/>
  <c r="G338" i="43"/>
  <c r="J337" i="43" a="1"/>
  <c r="U337" i="43"/>
  <c r="T337" i="43" l="1"/>
  <c r="L337" i="43"/>
  <c r="S337" i="43"/>
  <c r="K337" i="43"/>
  <c r="R337" i="43"/>
  <c r="J337" i="43"/>
  <c r="Q337" i="43"/>
  <c r="P337" i="43"/>
  <c r="O337" i="43"/>
  <c r="N337" i="43"/>
  <c r="M337" i="43"/>
  <c r="G337" i="43"/>
  <c r="J336" i="43" a="1"/>
  <c r="U336" i="43"/>
  <c r="T336" i="43" l="1"/>
  <c r="L336" i="43"/>
  <c r="K336" i="43"/>
  <c r="R336" i="43"/>
  <c r="J336" i="43"/>
  <c r="Q336" i="43"/>
  <c r="O336" i="43"/>
  <c r="M336" i="43"/>
  <c r="S336" i="43"/>
  <c r="P336" i="43"/>
  <c r="N336" i="43"/>
  <c r="G336" i="43"/>
  <c r="J335" i="43" a="1"/>
  <c r="U335" i="43"/>
  <c r="T335" i="43" l="1"/>
  <c r="L335" i="43"/>
  <c r="S335" i="43"/>
  <c r="K335" i="43"/>
  <c r="R335" i="43"/>
  <c r="J335" i="43"/>
  <c r="Q335" i="43"/>
  <c r="P335" i="43"/>
  <c r="O335" i="43"/>
  <c r="N335" i="43"/>
  <c r="M335" i="43"/>
  <c r="G335" i="43"/>
  <c r="J334" i="43" a="1"/>
  <c r="U334" i="43"/>
  <c r="T334" i="43" l="1"/>
  <c r="L334" i="43"/>
  <c r="S334" i="43"/>
  <c r="K334" i="43"/>
  <c r="R334" i="43"/>
  <c r="J334" i="43"/>
  <c r="Q334" i="43"/>
  <c r="P334" i="43"/>
  <c r="O334" i="43"/>
  <c r="N334" i="43"/>
  <c r="M334" i="43"/>
  <c r="G334" i="43"/>
  <c r="J333" i="43" a="1"/>
  <c r="U333" i="43"/>
  <c r="T333" i="43" l="1"/>
  <c r="L333" i="43"/>
  <c r="S333" i="43"/>
  <c r="K333" i="43"/>
  <c r="R333" i="43"/>
  <c r="J333" i="43"/>
  <c r="Q333" i="43"/>
  <c r="P333" i="43"/>
  <c r="O333" i="43"/>
  <c r="N333" i="43"/>
  <c r="M333" i="43"/>
  <c r="G333" i="43"/>
  <c r="U332" i="43"/>
  <c r="J332" i="43" a="1"/>
  <c r="T332" i="43" l="1"/>
  <c r="L332" i="43"/>
  <c r="S332" i="43"/>
  <c r="K332" i="43"/>
  <c r="R332" i="43"/>
  <c r="J332" i="43"/>
  <c r="Q332" i="43"/>
  <c r="P332" i="43"/>
  <c r="O332" i="43"/>
  <c r="N332" i="43"/>
  <c r="M332" i="43"/>
  <c r="G332" i="43"/>
  <c r="U331" i="43"/>
  <c r="J331" i="43" a="1"/>
  <c r="T331" i="43" l="1"/>
  <c r="L331" i="43"/>
  <c r="S331" i="43"/>
  <c r="K331" i="43"/>
  <c r="R331" i="43"/>
  <c r="J331" i="43"/>
  <c r="Q331" i="43"/>
  <c r="P331" i="43"/>
  <c r="O331" i="43"/>
  <c r="N331" i="43"/>
  <c r="M331" i="43"/>
  <c r="G331" i="43"/>
  <c r="U330" i="43"/>
  <c r="J330" i="43" a="1"/>
  <c r="T330" i="43" l="1"/>
  <c r="L330" i="43"/>
  <c r="S330" i="43"/>
  <c r="K330" i="43"/>
  <c r="R330" i="43"/>
  <c r="J330" i="43"/>
  <c r="Q330" i="43"/>
  <c r="P330" i="43"/>
  <c r="O330" i="43"/>
  <c r="N330" i="43"/>
  <c r="M330" i="43"/>
  <c r="G330" i="43"/>
  <c r="J329" i="43" a="1"/>
  <c r="U329" i="43"/>
  <c r="T329" i="43" l="1"/>
  <c r="L329" i="43"/>
  <c r="S329" i="43"/>
  <c r="K329" i="43"/>
  <c r="R329" i="43"/>
  <c r="J329" i="43"/>
  <c r="Q329" i="43"/>
  <c r="P329" i="43"/>
  <c r="O329" i="43"/>
  <c r="N329" i="43"/>
  <c r="M329" i="43"/>
  <c r="G329" i="43"/>
  <c r="U328" i="43"/>
  <c r="J328" i="43" a="1"/>
  <c r="T328" i="43" l="1"/>
  <c r="L328" i="43"/>
  <c r="S328" i="43"/>
  <c r="K328" i="43"/>
  <c r="R328" i="43"/>
  <c r="J328" i="43"/>
  <c r="Q328" i="43"/>
  <c r="P328" i="43"/>
  <c r="O328" i="43"/>
  <c r="N328" i="43"/>
  <c r="M328" i="43"/>
  <c r="G328" i="43"/>
  <c r="J327" i="43" a="1"/>
  <c r="U327" i="43"/>
  <c r="T327" i="43" l="1"/>
  <c r="L327" i="43"/>
  <c r="S327" i="43"/>
  <c r="K327" i="43"/>
  <c r="R327" i="43"/>
  <c r="J327" i="43"/>
  <c r="Q327" i="43"/>
  <c r="P327" i="43"/>
  <c r="O327" i="43"/>
  <c r="N327" i="43"/>
  <c r="M327" i="43"/>
  <c r="G327" i="43"/>
  <c r="U326" i="43"/>
  <c r="J326" i="43" a="1"/>
  <c r="T326" i="43" l="1"/>
  <c r="L326" i="43"/>
  <c r="S326" i="43"/>
  <c r="K326" i="43"/>
  <c r="R326" i="43"/>
  <c r="J326" i="43"/>
  <c r="Q326" i="43"/>
  <c r="P326" i="43"/>
  <c r="O326" i="43"/>
  <c r="N326" i="43"/>
  <c r="M326" i="43"/>
  <c r="G326" i="43"/>
  <c r="J325" i="43" a="1"/>
  <c r="U325" i="43"/>
  <c r="T325" i="43" l="1"/>
  <c r="L325" i="43"/>
  <c r="S325" i="43"/>
  <c r="K325" i="43"/>
  <c r="R325" i="43"/>
  <c r="J325" i="43"/>
  <c r="Q325" i="43"/>
  <c r="P325" i="43"/>
  <c r="O325" i="43"/>
  <c r="N325" i="43"/>
  <c r="M325" i="43"/>
  <c r="G325" i="43"/>
  <c r="J324" i="43" a="1"/>
  <c r="U324" i="43"/>
  <c r="T324" i="43" l="1"/>
  <c r="L324" i="43"/>
  <c r="S324" i="43"/>
  <c r="K324" i="43"/>
  <c r="R324" i="43"/>
  <c r="J324" i="43"/>
  <c r="Q324" i="43"/>
  <c r="P324" i="43"/>
  <c r="O324" i="43"/>
  <c r="N324" i="43"/>
  <c r="M324" i="43"/>
  <c r="G324" i="43"/>
  <c r="U323" i="43"/>
  <c r="J323" i="43" a="1"/>
  <c r="T323" i="43" l="1"/>
  <c r="L323" i="43"/>
  <c r="S323" i="43"/>
  <c r="K323" i="43"/>
  <c r="R323" i="43"/>
  <c r="J323" i="43"/>
  <c r="Q323" i="43"/>
  <c r="P323" i="43"/>
  <c r="O323" i="43"/>
  <c r="N323" i="43"/>
  <c r="M323" i="43"/>
  <c r="G323" i="43"/>
  <c r="U322" i="43"/>
  <c r="J322" i="43" a="1"/>
  <c r="T322" i="43" l="1"/>
  <c r="L322" i="43"/>
  <c r="S322" i="43"/>
  <c r="K322" i="43"/>
  <c r="R322" i="43"/>
  <c r="J322" i="43"/>
  <c r="Q322" i="43"/>
  <c r="P322" i="43"/>
  <c r="O322" i="43"/>
  <c r="N322" i="43"/>
  <c r="M322" i="43"/>
  <c r="G322" i="43"/>
  <c r="U321" i="43"/>
  <c r="J321" i="43" a="1"/>
  <c r="T321" i="43" l="1"/>
  <c r="L321" i="43"/>
  <c r="S321" i="43"/>
  <c r="K321" i="43"/>
  <c r="R321" i="43"/>
  <c r="J321" i="43"/>
  <c r="Q321" i="43"/>
  <c r="P321" i="43"/>
  <c r="O321" i="43"/>
  <c r="N321" i="43"/>
  <c r="M321" i="43"/>
  <c r="G321" i="43"/>
  <c r="U320" i="43"/>
  <c r="J320" i="43" a="1"/>
  <c r="T320" i="43" l="1"/>
  <c r="L320" i="43"/>
  <c r="S320" i="43"/>
  <c r="K320" i="43"/>
  <c r="R320" i="43"/>
  <c r="J320" i="43"/>
  <c r="Q320" i="43"/>
  <c r="P320" i="43"/>
  <c r="O320" i="43"/>
  <c r="N320" i="43"/>
  <c r="M320" i="43"/>
  <c r="G320" i="43"/>
  <c r="J319" i="43" a="1"/>
  <c r="U319" i="43"/>
  <c r="T319" i="43" l="1"/>
  <c r="L319" i="43"/>
  <c r="S319" i="43"/>
  <c r="K319" i="43"/>
  <c r="R319" i="43"/>
  <c r="J319" i="43"/>
  <c r="Q319" i="43"/>
  <c r="P319" i="43"/>
  <c r="O319" i="43"/>
  <c r="N319" i="43"/>
  <c r="M319" i="43"/>
  <c r="G319" i="43"/>
  <c r="J318" i="43" a="1"/>
  <c r="U318" i="43"/>
  <c r="T318" i="43" l="1"/>
  <c r="L318" i="43"/>
  <c r="S318" i="43"/>
  <c r="K318" i="43"/>
  <c r="R318" i="43"/>
  <c r="J318" i="43"/>
  <c r="Q318" i="43"/>
  <c r="P318" i="43"/>
  <c r="O318" i="43"/>
  <c r="N318" i="43"/>
  <c r="M318" i="43"/>
  <c r="G318" i="43"/>
  <c r="J317" i="43" a="1"/>
  <c r="U317" i="43"/>
  <c r="T317" i="43" l="1"/>
  <c r="L317" i="43"/>
  <c r="S317" i="43"/>
  <c r="K317" i="43"/>
  <c r="R317" i="43"/>
  <c r="J317" i="43"/>
  <c r="Q317" i="43"/>
  <c r="P317" i="43"/>
  <c r="O317" i="43"/>
  <c r="N317" i="43"/>
  <c r="M317" i="43"/>
  <c r="G317" i="43"/>
  <c r="J316" i="43" a="1"/>
  <c r="U316" i="43"/>
  <c r="T316" i="43" l="1"/>
  <c r="L316" i="43"/>
  <c r="S316" i="43"/>
  <c r="K316" i="43"/>
  <c r="R316" i="43"/>
  <c r="J316" i="43"/>
  <c r="Q316" i="43"/>
  <c r="P316" i="43"/>
  <c r="O316" i="43"/>
  <c r="N316" i="43"/>
  <c r="M316" i="43"/>
  <c r="G316" i="43"/>
  <c r="J315" i="43" a="1"/>
  <c r="U315" i="43"/>
  <c r="T315" i="43" l="1"/>
  <c r="L315" i="43"/>
  <c r="S315" i="43"/>
  <c r="K315" i="43"/>
  <c r="R315" i="43"/>
  <c r="J315" i="43"/>
  <c r="Q315" i="43"/>
  <c r="P315" i="43"/>
  <c r="O315" i="43"/>
  <c r="N315" i="43"/>
  <c r="M315" i="43"/>
  <c r="G315" i="43"/>
  <c r="U314" i="43"/>
  <c r="J314" i="43" a="1"/>
  <c r="T314" i="43" l="1"/>
  <c r="L314" i="43"/>
  <c r="S314" i="43"/>
  <c r="K314" i="43"/>
  <c r="R314" i="43"/>
  <c r="J314" i="43"/>
  <c r="Q314" i="43"/>
  <c r="P314" i="43"/>
  <c r="O314" i="43"/>
  <c r="N314" i="43"/>
  <c r="M314" i="43"/>
  <c r="G314" i="43"/>
  <c r="J313" i="43" a="1"/>
  <c r="U313" i="43"/>
  <c r="T313" i="43" l="1"/>
  <c r="L313" i="43"/>
  <c r="S313" i="43"/>
  <c r="K313" i="43"/>
  <c r="R313" i="43"/>
  <c r="J313" i="43"/>
  <c r="Q313" i="43"/>
  <c r="P313" i="43"/>
  <c r="O313" i="43"/>
  <c r="N313" i="43"/>
  <c r="M313" i="43"/>
  <c r="G313" i="43"/>
  <c r="J312" i="43" a="1"/>
  <c r="U312" i="43"/>
  <c r="T312" i="43" l="1"/>
  <c r="L312" i="43"/>
  <c r="S312" i="43"/>
  <c r="K312" i="43"/>
  <c r="R312" i="43"/>
  <c r="J312" i="43"/>
  <c r="Q312" i="43"/>
  <c r="P312" i="43"/>
  <c r="O312" i="43"/>
  <c r="N312" i="43"/>
  <c r="M312" i="43"/>
  <c r="G312" i="43"/>
  <c r="J311" i="43" a="1"/>
  <c r="U311" i="43"/>
  <c r="T311" i="43" l="1"/>
  <c r="L311" i="43"/>
  <c r="S311" i="43"/>
  <c r="K311" i="43"/>
  <c r="R311" i="43"/>
  <c r="J311" i="43"/>
  <c r="Q311" i="43"/>
  <c r="P311" i="43"/>
  <c r="O311" i="43"/>
  <c r="N311" i="43"/>
  <c r="M311" i="43"/>
  <c r="G311" i="43"/>
  <c r="U310" i="43"/>
  <c r="J310" i="43" a="1"/>
  <c r="T310" i="43" l="1"/>
  <c r="L310" i="43"/>
  <c r="S310" i="43"/>
  <c r="K310" i="43"/>
  <c r="R310" i="43"/>
  <c r="J310" i="43"/>
  <c r="Q310" i="43"/>
  <c r="P310" i="43"/>
  <c r="O310" i="43"/>
  <c r="N310" i="43"/>
  <c r="M310" i="43"/>
  <c r="G310" i="43"/>
  <c r="J309" i="43" a="1"/>
  <c r="U309" i="43"/>
  <c r="T309" i="43" l="1"/>
  <c r="L309" i="43"/>
  <c r="S309" i="43"/>
  <c r="K309" i="43"/>
  <c r="R309" i="43"/>
  <c r="J309" i="43"/>
  <c r="Q309" i="43"/>
  <c r="P309" i="43"/>
  <c r="O309" i="43"/>
  <c r="N309" i="43"/>
  <c r="M309" i="43"/>
  <c r="G309" i="43"/>
  <c r="J308" i="43" a="1"/>
  <c r="U308" i="43"/>
  <c r="T308" i="43" l="1"/>
  <c r="L308" i="43"/>
  <c r="S308" i="43"/>
  <c r="K308" i="43"/>
  <c r="R308" i="43"/>
  <c r="J308" i="43"/>
  <c r="Q308" i="43"/>
  <c r="P308" i="43"/>
  <c r="O308" i="43"/>
  <c r="N308" i="43"/>
  <c r="M308" i="43"/>
  <c r="G308" i="43"/>
  <c r="J307" i="43" a="1"/>
  <c r="U307" i="43"/>
  <c r="T307" i="43" l="1"/>
  <c r="L307" i="43"/>
  <c r="S307" i="43"/>
  <c r="K307" i="43"/>
  <c r="R307" i="43"/>
  <c r="J307" i="43"/>
  <c r="Q307" i="43"/>
  <c r="P307" i="43"/>
  <c r="O307" i="43"/>
  <c r="N307" i="43"/>
  <c r="M307" i="43"/>
  <c r="G307" i="43"/>
  <c r="J306" i="43" a="1"/>
  <c r="U306" i="43"/>
  <c r="T306" i="43" l="1"/>
  <c r="L306" i="43"/>
  <c r="S306" i="43"/>
  <c r="K306" i="43"/>
  <c r="R306" i="43"/>
  <c r="J306" i="43"/>
  <c r="Q306" i="43"/>
  <c r="P306" i="43"/>
  <c r="O306" i="43"/>
  <c r="N306" i="43"/>
  <c r="M306" i="43"/>
  <c r="G306" i="43"/>
  <c r="J305" i="43" a="1"/>
  <c r="U305" i="43"/>
  <c r="T305" i="43" l="1"/>
  <c r="L305" i="43"/>
  <c r="S305" i="43"/>
  <c r="K305" i="43"/>
  <c r="R305" i="43"/>
  <c r="J305" i="43"/>
  <c r="Q305" i="43"/>
  <c r="P305" i="43"/>
  <c r="O305" i="43"/>
  <c r="N305" i="43"/>
  <c r="M305" i="43"/>
  <c r="G305" i="43"/>
  <c r="J304" i="43" a="1"/>
  <c r="U304" i="43"/>
  <c r="T304" i="43" l="1"/>
  <c r="L304" i="43"/>
  <c r="S304" i="43"/>
  <c r="K304" i="43"/>
  <c r="R304" i="43"/>
  <c r="J304" i="43"/>
  <c r="Q304" i="43"/>
  <c r="P304" i="43"/>
  <c r="O304" i="43"/>
  <c r="N304" i="43"/>
  <c r="M304" i="43"/>
  <c r="G304" i="43"/>
  <c r="U303" i="43"/>
  <c r="J303" i="43" a="1"/>
  <c r="T303" i="43" l="1"/>
  <c r="L303" i="43"/>
  <c r="S303" i="43"/>
  <c r="K303" i="43"/>
  <c r="R303" i="43"/>
  <c r="J303" i="43"/>
  <c r="Q303" i="43"/>
  <c r="P303" i="43"/>
  <c r="O303" i="43"/>
  <c r="N303" i="43"/>
  <c r="M303" i="43"/>
  <c r="G303" i="43"/>
  <c r="U302" i="43"/>
  <c r="J302" i="43" a="1"/>
  <c r="T302" i="43" l="1"/>
  <c r="L302" i="43"/>
  <c r="K302" i="43"/>
  <c r="J302" i="43"/>
  <c r="Q302" i="43"/>
  <c r="O302" i="43"/>
  <c r="M302" i="43"/>
  <c r="S302" i="43"/>
  <c r="R302" i="43"/>
  <c r="P302" i="43"/>
  <c r="N302" i="43"/>
  <c r="G302" i="43"/>
  <c r="J301" i="43" a="1"/>
  <c r="U301" i="43"/>
  <c r="T301" i="43" l="1"/>
  <c r="L301" i="43"/>
  <c r="K301" i="43"/>
  <c r="R301" i="43"/>
  <c r="J301" i="43"/>
  <c r="Q301" i="43"/>
  <c r="O301" i="43"/>
  <c r="N301" i="43"/>
  <c r="S301" i="43"/>
  <c r="P301" i="43"/>
  <c r="M301" i="43"/>
  <c r="G301" i="43"/>
  <c r="U300" i="43"/>
  <c r="J300" i="43" a="1"/>
  <c r="T300" i="43" l="1"/>
  <c r="L300" i="43"/>
  <c r="R300" i="43"/>
  <c r="Q300" i="43"/>
  <c r="O300" i="43"/>
  <c r="N300" i="43"/>
  <c r="M300" i="43"/>
  <c r="S300" i="43"/>
  <c r="K300" i="43"/>
  <c r="J300" i="43"/>
  <c r="P300" i="43"/>
  <c r="G300" i="43"/>
  <c r="J299" i="43" a="1"/>
  <c r="U299" i="43"/>
  <c r="T299" i="43" l="1"/>
  <c r="L299" i="43"/>
  <c r="K299" i="43"/>
  <c r="R299" i="43"/>
  <c r="J299" i="43"/>
  <c r="Q299" i="43"/>
  <c r="P299" i="43"/>
  <c r="N299" i="43"/>
  <c r="S299" i="43"/>
  <c r="O299" i="43"/>
  <c r="M299" i="43"/>
  <c r="G299" i="43"/>
  <c r="J298" i="43" a="1"/>
  <c r="U298" i="43"/>
  <c r="T298" i="43" l="1"/>
  <c r="L298" i="43"/>
  <c r="K298" i="43"/>
  <c r="R298" i="43"/>
  <c r="J298" i="43"/>
  <c r="Q298" i="43"/>
  <c r="P298" i="43"/>
  <c r="O298" i="43"/>
  <c r="M298" i="43"/>
  <c r="S298" i="43"/>
  <c r="N298" i="43"/>
  <c r="G298" i="43"/>
  <c r="J297" i="43" a="1"/>
  <c r="U297" i="43"/>
  <c r="T297" i="43" l="1"/>
  <c r="L297" i="43"/>
  <c r="S297" i="43"/>
  <c r="R297" i="43"/>
  <c r="J297" i="43"/>
  <c r="Q297" i="43"/>
  <c r="O297" i="43"/>
  <c r="N297" i="43"/>
  <c r="M297" i="43"/>
  <c r="K297" i="43"/>
  <c r="P297" i="43"/>
  <c r="G297" i="43"/>
  <c r="J296" i="43" a="1"/>
  <c r="U296" i="43"/>
  <c r="T296" i="43" l="1"/>
  <c r="L296" i="43"/>
  <c r="S296" i="43"/>
  <c r="K296" i="43"/>
  <c r="R296" i="43"/>
  <c r="J296" i="43"/>
  <c r="Q296" i="43"/>
  <c r="P296" i="43"/>
  <c r="O296" i="43"/>
  <c r="N296" i="43"/>
  <c r="M296" i="43"/>
  <c r="G296" i="43"/>
  <c r="U295" i="43"/>
  <c r="J295" i="43" a="1"/>
  <c r="T295" i="43" l="1"/>
  <c r="L295" i="43"/>
  <c r="S295" i="43"/>
  <c r="K295" i="43"/>
  <c r="R295" i="43"/>
  <c r="J295" i="43"/>
  <c r="Q295" i="43"/>
  <c r="P295" i="43"/>
  <c r="O295" i="43"/>
  <c r="N295" i="43"/>
  <c r="M295" i="43"/>
  <c r="G295" i="43"/>
  <c r="U294" i="43"/>
  <c r="J294" i="43" a="1"/>
  <c r="T294" i="43" l="1"/>
  <c r="L294" i="43"/>
  <c r="R294" i="43"/>
  <c r="P294" i="43"/>
  <c r="N294" i="43"/>
  <c r="S294" i="43"/>
  <c r="K294" i="43"/>
  <c r="J294" i="43"/>
  <c r="Q294" i="43"/>
  <c r="O294" i="43"/>
  <c r="M294" i="43"/>
  <c r="G294" i="43"/>
  <c r="U293" i="43"/>
  <c r="J293" i="43" a="1"/>
  <c r="T293" i="43" l="1"/>
  <c r="L293" i="43"/>
  <c r="S293" i="43"/>
  <c r="K293" i="43"/>
  <c r="R293" i="43"/>
  <c r="J293" i="43"/>
  <c r="Q293" i="43"/>
  <c r="P293" i="43"/>
  <c r="O293" i="43"/>
  <c r="N293" i="43"/>
  <c r="M293" i="43"/>
  <c r="G293" i="43"/>
  <c r="U292" i="43"/>
  <c r="J292" i="43" a="1"/>
  <c r="T292" i="43" l="1"/>
  <c r="L292" i="43"/>
  <c r="S292" i="43"/>
  <c r="K292" i="43"/>
  <c r="R292" i="43"/>
  <c r="J292" i="43"/>
  <c r="Q292" i="43"/>
  <c r="P292" i="43"/>
  <c r="O292" i="43"/>
  <c r="N292" i="43"/>
  <c r="M292" i="43"/>
  <c r="G292" i="43"/>
  <c r="U291" i="43"/>
  <c r="J291" i="43" a="1"/>
  <c r="T291" i="43" l="1"/>
  <c r="L291" i="43"/>
  <c r="S291" i="43"/>
  <c r="K291" i="43"/>
  <c r="R291" i="43"/>
  <c r="J291" i="43"/>
  <c r="Q291" i="43"/>
  <c r="P291" i="43"/>
  <c r="O291" i="43"/>
  <c r="N291" i="43"/>
  <c r="M291" i="43"/>
  <c r="G291" i="43"/>
  <c r="U290" i="43"/>
  <c r="J290" i="43" a="1"/>
  <c r="T290" i="43" l="1"/>
  <c r="L290" i="43"/>
  <c r="S290" i="43"/>
  <c r="K290" i="43"/>
  <c r="R290" i="43"/>
  <c r="J290" i="43"/>
  <c r="Q290" i="43"/>
  <c r="P290" i="43"/>
  <c r="O290" i="43"/>
  <c r="N290" i="43"/>
  <c r="M290" i="43"/>
  <c r="G290" i="43"/>
  <c r="U289" i="43"/>
  <c r="J289" i="43" a="1"/>
  <c r="T289" i="43" l="1"/>
  <c r="L289" i="43"/>
  <c r="S289" i="43"/>
  <c r="K289" i="43"/>
  <c r="R289" i="43"/>
  <c r="J289" i="43"/>
  <c r="Q289" i="43"/>
  <c r="P289" i="43"/>
  <c r="O289" i="43"/>
  <c r="N289" i="43"/>
  <c r="M289" i="43"/>
  <c r="G289" i="43"/>
  <c r="J288" i="43" a="1"/>
  <c r="U288" i="43"/>
  <c r="T288" i="43" l="1"/>
  <c r="L288" i="43"/>
  <c r="S288" i="43"/>
  <c r="K288" i="43"/>
  <c r="R288" i="43"/>
  <c r="J288" i="43"/>
  <c r="Q288" i="43"/>
  <c r="P288" i="43"/>
  <c r="O288" i="43"/>
  <c r="N288" i="43"/>
  <c r="M288" i="43"/>
  <c r="G288" i="43"/>
  <c r="U287" i="43"/>
  <c r="J287" i="43" a="1"/>
  <c r="T287" i="43" l="1"/>
  <c r="L287" i="43"/>
  <c r="S287" i="43"/>
  <c r="K287" i="43"/>
  <c r="R287" i="43"/>
  <c r="J287" i="43"/>
  <c r="Q287" i="43"/>
  <c r="P287" i="43"/>
  <c r="O287" i="43"/>
  <c r="N287" i="43"/>
  <c r="M287" i="43"/>
  <c r="G287" i="43"/>
  <c r="J286" i="43" a="1"/>
  <c r="U286" i="43"/>
  <c r="T286" i="43" l="1"/>
  <c r="L286" i="43"/>
  <c r="S286" i="43"/>
  <c r="K286" i="43"/>
  <c r="R286" i="43"/>
  <c r="J286" i="43"/>
  <c r="Q286" i="43"/>
  <c r="P286" i="43"/>
  <c r="O286" i="43"/>
  <c r="N286" i="43"/>
  <c r="M286" i="43"/>
  <c r="G286" i="43"/>
  <c r="J285" i="43" a="1"/>
  <c r="U285" i="43"/>
  <c r="T285" i="43" l="1"/>
  <c r="L285" i="43"/>
  <c r="S285" i="43"/>
  <c r="K285" i="43"/>
  <c r="R285" i="43"/>
  <c r="J285" i="43"/>
  <c r="Q285" i="43"/>
  <c r="P285" i="43"/>
  <c r="O285" i="43"/>
  <c r="N285" i="43"/>
  <c r="M285" i="43"/>
  <c r="G285" i="43"/>
  <c r="J284" i="43" a="1"/>
  <c r="U284" i="43"/>
  <c r="T284" i="43" l="1"/>
  <c r="L284" i="43"/>
  <c r="S284" i="43"/>
  <c r="K284" i="43"/>
  <c r="R284" i="43"/>
  <c r="J284" i="43"/>
  <c r="Q284" i="43"/>
  <c r="P284" i="43"/>
  <c r="O284" i="43"/>
  <c r="N284" i="43"/>
  <c r="M284" i="43"/>
  <c r="G284" i="43"/>
  <c r="J283" i="43" a="1"/>
  <c r="U283" i="43"/>
  <c r="T283" i="43" l="1"/>
  <c r="L283" i="43"/>
  <c r="S283" i="43"/>
  <c r="K283" i="43"/>
  <c r="R283" i="43"/>
  <c r="J283" i="43"/>
  <c r="Q283" i="43"/>
  <c r="P283" i="43"/>
  <c r="O283" i="43"/>
  <c r="N283" i="43"/>
  <c r="M283" i="43"/>
  <c r="G283" i="43"/>
  <c r="U282" i="43"/>
  <c r="J282" i="43" a="1"/>
  <c r="T282" i="43" l="1"/>
  <c r="L282" i="43"/>
  <c r="S282" i="43"/>
  <c r="K282" i="43"/>
  <c r="R282" i="43"/>
  <c r="J282" i="43"/>
  <c r="Q282" i="43"/>
  <c r="P282" i="43"/>
  <c r="O282" i="43"/>
  <c r="N282" i="43"/>
  <c r="M282" i="43"/>
  <c r="G282" i="43"/>
  <c r="J281" i="43" a="1"/>
  <c r="U281" i="43"/>
  <c r="T281" i="43" l="1"/>
  <c r="L281" i="43"/>
  <c r="S281" i="43"/>
  <c r="K281" i="43"/>
  <c r="R281" i="43"/>
  <c r="J281" i="43"/>
  <c r="Q281" i="43"/>
  <c r="P281" i="43"/>
  <c r="O281" i="43"/>
  <c r="N281" i="43"/>
  <c r="M281" i="43"/>
  <c r="G281" i="43"/>
  <c r="J280" i="43" a="1"/>
  <c r="U280" i="43"/>
  <c r="T280" i="43" l="1"/>
  <c r="L280" i="43"/>
  <c r="S280" i="43"/>
  <c r="K280" i="43"/>
  <c r="R280" i="43"/>
  <c r="J280" i="43"/>
  <c r="Q280" i="43"/>
  <c r="P280" i="43"/>
  <c r="O280" i="43"/>
  <c r="N280" i="43"/>
  <c r="M280" i="43"/>
  <c r="G280" i="43"/>
  <c r="U279" i="43"/>
  <c r="J279" i="43" a="1"/>
  <c r="T279" i="43" l="1"/>
  <c r="L279" i="43"/>
  <c r="S279" i="43"/>
  <c r="K279" i="43"/>
  <c r="R279" i="43"/>
  <c r="J279" i="43"/>
  <c r="Q279" i="43"/>
  <c r="P279" i="43"/>
  <c r="O279" i="43"/>
  <c r="N279" i="43"/>
  <c r="M279" i="43"/>
  <c r="G279" i="43"/>
  <c r="U278" i="43"/>
  <c r="J278" i="43" a="1"/>
  <c r="T278" i="43" l="1"/>
  <c r="L278" i="43"/>
  <c r="S278" i="43"/>
  <c r="K278" i="43"/>
  <c r="R278" i="43"/>
  <c r="J278" i="43"/>
  <c r="Q278" i="43"/>
  <c r="P278" i="43"/>
  <c r="O278" i="43"/>
  <c r="N278" i="43"/>
  <c r="M278" i="43"/>
  <c r="G278" i="43"/>
  <c r="U277" i="43"/>
  <c r="J277" i="43" a="1"/>
  <c r="T277" i="43" l="1"/>
  <c r="L277" i="43"/>
  <c r="S277" i="43"/>
  <c r="K277" i="43"/>
  <c r="R277" i="43"/>
  <c r="J277" i="43"/>
  <c r="Q277" i="43"/>
  <c r="P277" i="43"/>
  <c r="O277" i="43"/>
  <c r="N277" i="43"/>
  <c r="M277" i="43"/>
  <c r="G277" i="43"/>
  <c r="J276" i="43" a="1"/>
  <c r="U276" i="43"/>
  <c r="T276" i="43" l="1"/>
  <c r="L276" i="43"/>
  <c r="S276" i="43"/>
  <c r="K276" i="43"/>
  <c r="R276" i="43"/>
  <c r="J276" i="43"/>
  <c r="Q276" i="43"/>
  <c r="P276" i="43"/>
  <c r="O276" i="43"/>
  <c r="N276" i="43"/>
  <c r="M276" i="43"/>
  <c r="G276" i="43"/>
  <c r="U275" i="43"/>
  <c r="J275" i="43" a="1"/>
  <c r="T275" i="43" l="1"/>
  <c r="L275" i="43"/>
  <c r="S275" i="43"/>
  <c r="K275" i="43"/>
  <c r="R275" i="43"/>
  <c r="J275" i="43"/>
  <c r="Q275" i="43"/>
  <c r="P275" i="43"/>
  <c r="O275" i="43"/>
  <c r="N275" i="43"/>
  <c r="M275" i="43"/>
  <c r="G275" i="43"/>
  <c r="U274" i="43"/>
  <c r="J274" i="43" a="1"/>
  <c r="T274" i="43" l="1"/>
  <c r="L274" i="43"/>
  <c r="S274" i="43"/>
  <c r="K274" i="43"/>
  <c r="R274" i="43"/>
  <c r="J274" i="43"/>
  <c r="Q274" i="43"/>
  <c r="P274" i="43"/>
  <c r="O274" i="43"/>
  <c r="N274" i="43"/>
  <c r="M274" i="43"/>
  <c r="G274" i="43"/>
  <c r="U273" i="43"/>
  <c r="J273" i="43" a="1"/>
  <c r="T273" i="43" l="1"/>
  <c r="L273" i="43"/>
  <c r="S273" i="43"/>
  <c r="K273" i="43"/>
  <c r="R273" i="43"/>
  <c r="J273" i="43"/>
  <c r="Q273" i="43"/>
  <c r="P273" i="43"/>
  <c r="O273" i="43"/>
  <c r="N273" i="43"/>
  <c r="M273" i="43"/>
  <c r="G273" i="43"/>
  <c r="U272" i="43"/>
  <c r="J272" i="43" a="1"/>
  <c r="T272" i="43" l="1"/>
  <c r="L272" i="43"/>
  <c r="S272" i="43"/>
  <c r="K272" i="43"/>
  <c r="R272" i="43"/>
  <c r="J272" i="43"/>
  <c r="Q272" i="43"/>
  <c r="P272" i="43"/>
  <c r="O272" i="43"/>
  <c r="N272" i="43"/>
  <c r="M272" i="43"/>
  <c r="G272" i="43"/>
  <c r="J271" i="43" a="1"/>
  <c r="U271" i="43"/>
  <c r="T271" i="43" l="1"/>
  <c r="L271" i="43"/>
  <c r="S271" i="43"/>
  <c r="K271" i="43"/>
  <c r="R271" i="43"/>
  <c r="J271" i="43"/>
  <c r="Q271" i="43"/>
  <c r="P271" i="43"/>
  <c r="O271" i="43"/>
  <c r="N271" i="43"/>
  <c r="M271" i="43"/>
  <c r="G271" i="43"/>
  <c r="J270" i="43" a="1"/>
  <c r="U270" i="43"/>
  <c r="T270" i="43" l="1"/>
  <c r="L270" i="43"/>
  <c r="S270" i="43"/>
  <c r="K270" i="43"/>
  <c r="R270" i="43"/>
  <c r="J270" i="43"/>
  <c r="Q270" i="43"/>
  <c r="P270" i="43"/>
  <c r="O270" i="43"/>
  <c r="N270" i="43"/>
  <c r="M270" i="43"/>
  <c r="G270" i="43"/>
  <c r="U269" i="43"/>
  <c r="J269" i="43" a="1"/>
  <c r="T269" i="43" l="1"/>
  <c r="L269" i="43"/>
  <c r="S269" i="43"/>
  <c r="K269" i="43"/>
  <c r="R269" i="43"/>
  <c r="J269" i="43"/>
  <c r="Q269" i="43"/>
  <c r="P269" i="43"/>
  <c r="O269" i="43"/>
  <c r="N269" i="43"/>
  <c r="M269" i="43"/>
  <c r="G269" i="43"/>
  <c r="J268" i="43" a="1"/>
  <c r="U268" i="43"/>
  <c r="T268" i="43" l="1"/>
  <c r="L268" i="43"/>
  <c r="S268" i="43"/>
  <c r="K268" i="43"/>
  <c r="R268" i="43"/>
  <c r="J268" i="43"/>
  <c r="Q268" i="43"/>
  <c r="P268" i="43"/>
  <c r="O268" i="43"/>
  <c r="M268" i="43"/>
  <c r="N268" i="43"/>
  <c r="G268" i="43"/>
  <c r="J267" i="43" a="1"/>
  <c r="U267" i="43"/>
  <c r="T267" i="43" l="1"/>
  <c r="L267" i="43"/>
  <c r="S267" i="43"/>
  <c r="K267" i="43"/>
  <c r="R267" i="43"/>
  <c r="J267" i="43"/>
  <c r="Q267" i="43"/>
  <c r="P267" i="43"/>
  <c r="O267" i="43"/>
  <c r="N267" i="43"/>
  <c r="M267" i="43"/>
  <c r="G267" i="43"/>
  <c r="U266" i="43"/>
  <c r="J266" i="43" a="1"/>
  <c r="T266" i="43" l="1"/>
  <c r="L266" i="43"/>
  <c r="S266" i="43"/>
  <c r="K266" i="43"/>
  <c r="R266" i="43"/>
  <c r="J266" i="43"/>
  <c r="Q266" i="43"/>
  <c r="P266" i="43"/>
  <c r="O266" i="43"/>
  <c r="N266" i="43"/>
  <c r="M266" i="43"/>
  <c r="G266" i="43"/>
  <c r="U265" i="43"/>
  <c r="J265" i="43" a="1"/>
  <c r="T265" i="43" l="1"/>
  <c r="L265" i="43"/>
  <c r="S265" i="43"/>
  <c r="K265" i="43"/>
  <c r="R265" i="43"/>
  <c r="J265" i="43"/>
  <c r="Q265" i="43"/>
  <c r="P265" i="43"/>
  <c r="O265" i="43"/>
  <c r="N265" i="43"/>
  <c r="M265" i="43"/>
  <c r="G265" i="43"/>
  <c r="U264" i="43"/>
  <c r="J264" i="43" a="1"/>
  <c r="T264" i="43" l="1"/>
  <c r="L264" i="43"/>
  <c r="S264" i="43"/>
  <c r="K264" i="43"/>
  <c r="R264" i="43"/>
  <c r="J264" i="43"/>
  <c r="Q264" i="43"/>
  <c r="P264" i="43"/>
  <c r="O264" i="43"/>
  <c r="N264" i="43"/>
  <c r="M264" i="43"/>
  <c r="G264" i="43"/>
  <c r="J263" i="43" a="1"/>
  <c r="U263" i="43"/>
  <c r="T263" i="43" l="1"/>
  <c r="L263" i="43"/>
  <c r="S263" i="43"/>
  <c r="K263" i="43"/>
  <c r="R263" i="43"/>
  <c r="J263" i="43"/>
  <c r="Q263" i="43"/>
  <c r="P263" i="43"/>
  <c r="O263" i="43"/>
  <c r="N263" i="43"/>
  <c r="M263" i="43"/>
  <c r="G263" i="43"/>
  <c r="J262" i="43" a="1"/>
  <c r="U262" i="43"/>
  <c r="T262" i="43" l="1"/>
  <c r="L262" i="43"/>
  <c r="S262" i="43"/>
  <c r="K262" i="43"/>
  <c r="R262" i="43"/>
  <c r="J262" i="43"/>
  <c r="Q262" i="43"/>
  <c r="P262" i="43"/>
  <c r="O262" i="43"/>
  <c r="N262" i="43"/>
  <c r="M262" i="43"/>
  <c r="G262" i="43"/>
  <c r="J261" i="43" a="1"/>
  <c r="U261" i="43"/>
  <c r="T261" i="43" l="1"/>
  <c r="L261" i="43"/>
  <c r="S261" i="43"/>
  <c r="K261" i="43"/>
  <c r="R261" i="43"/>
  <c r="J261" i="43"/>
  <c r="Q261" i="43"/>
  <c r="P261" i="43"/>
  <c r="O261" i="43"/>
  <c r="N261" i="43"/>
  <c r="M261" i="43"/>
  <c r="G261" i="43"/>
  <c r="J260" i="43" a="1"/>
  <c r="U260" i="43"/>
  <c r="T260" i="43" l="1"/>
  <c r="L260" i="43"/>
  <c r="S260" i="43"/>
  <c r="K260" i="43"/>
  <c r="R260" i="43"/>
  <c r="J260" i="43"/>
  <c r="Q260" i="43"/>
  <c r="P260" i="43"/>
  <c r="O260" i="43"/>
  <c r="N260" i="43"/>
  <c r="M260" i="43"/>
  <c r="G260" i="43"/>
  <c r="J259" i="43" a="1"/>
  <c r="U259" i="43"/>
  <c r="T259" i="43" l="1"/>
  <c r="L259" i="43"/>
  <c r="S259" i="43"/>
  <c r="K259" i="43"/>
  <c r="R259" i="43"/>
  <c r="J259" i="43"/>
  <c r="Q259" i="43"/>
  <c r="P259" i="43"/>
  <c r="O259" i="43"/>
  <c r="N259" i="43"/>
  <c r="M259" i="43"/>
  <c r="G259" i="43"/>
  <c r="U258" i="43"/>
  <c r="J258" i="43" a="1"/>
  <c r="T258" i="43" l="1"/>
  <c r="L258" i="43"/>
  <c r="M258" i="43"/>
  <c r="S258" i="43"/>
  <c r="K258" i="43"/>
  <c r="R258" i="43"/>
  <c r="J258" i="43"/>
  <c r="Q258" i="43"/>
  <c r="P258" i="43"/>
  <c r="O258" i="43"/>
  <c r="N258" i="43"/>
  <c r="G258" i="43"/>
  <c r="U257" i="43"/>
  <c r="J257" i="43" a="1"/>
  <c r="T257" i="43" l="1"/>
  <c r="L257" i="43"/>
  <c r="S257" i="43"/>
  <c r="R257" i="43"/>
  <c r="J257" i="43"/>
  <c r="Q257" i="43"/>
  <c r="P257" i="43"/>
  <c r="N257" i="43"/>
  <c r="M257" i="43"/>
  <c r="K257" i="43"/>
  <c r="O257" i="43"/>
  <c r="G257" i="43"/>
  <c r="U256" i="43"/>
  <c r="J256" i="43" a="1"/>
  <c r="T256" i="43" l="1"/>
  <c r="L256" i="43"/>
  <c r="J256" i="43"/>
  <c r="O256" i="43"/>
  <c r="S256" i="43"/>
  <c r="K256" i="43"/>
  <c r="Q256" i="43"/>
  <c r="P256" i="43"/>
  <c r="M256" i="43"/>
  <c r="R256" i="43"/>
  <c r="N256" i="43"/>
  <c r="G256" i="43"/>
  <c r="U255" i="43"/>
  <c r="J255" i="43" a="1"/>
  <c r="T255" i="43" l="1"/>
  <c r="L255" i="43"/>
  <c r="S255" i="43"/>
  <c r="K255" i="43"/>
  <c r="R255" i="43"/>
  <c r="J255" i="43"/>
  <c r="Q255" i="43"/>
  <c r="P255" i="43"/>
  <c r="O255" i="43"/>
  <c r="N255" i="43"/>
  <c r="M255" i="43"/>
  <c r="G255" i="43"/>
  <c r="J254" i="43" a="1"/>
  <c r="U254" i="43"/>
  <c r="T254" i="43" l="1"/>
  <c r="L254" i="43"/>
  <c r="S254" i="43"/>
  <c r="K254" i="43"/>
  <c r="R254" i="43"/>
  <c r="J254" i="43"/>
  <c r="Q254" i="43"/>
  <c r="P254" i="43"/>
  <c r="O254" i="43"/>
  <c r="N254" i="43"/>
  <c r="M254" i="43"/>
  <c r="G254" i="43"/>
  <c r="U253" i="43"/>
  <c r="J253" i="43" a="1"/>
  <c r="T253" i="43" l="1"/>
  <c r="L253" i="43"/>
  <c r="S253" i="43"/>
  <c r="K253" i="43"/>
  <c r="R253" i="43"/>
  <c r="J253" i="43"/>
  <c r="Q253" i="43"/>
  <c r="P253" i="43"/>
  <c r="O253" i="43"/>
  <c r="N253" i="43"/>
  <c r="M253" i="43"/>
  <c r="G253" i="43"/>
  <c r="J252" i="43" a="1"/>
  <c r="U252" i="43"/>
  <c r="T252" i="43" l="1"/>
  <c r="L252" i="43"/>
  <c r="S252" i="43"/>
  <c r="K252" i="43"/>
  <c r="R252" i="43"/>
  <c r="J252" i="43"/>
  <c r="Q252" i="43"/>
  <c r="P252" i="43"/>
  <c r="O252" i="43"/>
  <c r="N252" i="43"/>
  <c r="M252" i="43"/>
  <c r="G252" i="43"/>
  <c r="J251" i="43" a="1"/>
  <c r="U251" i="43"/>
  <c r="T251" i="43" l="1"/>
  <c r="L251" i="43"/>
  <c r="S251" i="43"/>
  <c r="K251" i="43"/>
  <c r="R251" i="43"/>
  <c r="J251" i="43"/>
  <c r="Q251" i="43"/>
  <c r="P251" i="43"/>
  <c r="O251" i="43"/>
  <c r="N251" i="43"/>
  <c r="M251" i="43"/>
  <c r="G251" i="43"/>
  <c r="J250" i="43" a="1"/>
  <c r="U250" i="43"/>
  <c r="T250" i="43" l="1"/>
  <c r="L250" i="43"/>
  <c r="S250" i="43"/>
  <c r="K250" i="43"/>
  <c r="R250" i="43"/>
  <c r="J250" i="43"/>
  <c r="Q250" i="43"/>
  <c r="P250" i="43"/>
  <c r="O250" i="43"/>
  <c r="N250" i="43"/>
  <c r="M250" i="43"/>
  <c r="G250" i="43"/>
  <c r="U249" i="43"/>
  <c r="J249" i="43" a="1"/>
  <c r="T249" i="43" l="1"/>
  <c r="L249" i="43"/>
  <c r="R249" i="43"/>
  <c r="Q249" i="43"/>
  <c r="P249" i="43"/>
  <c r="O249" i="43"/>
  <c r="N249" i="43"/>
  <c r="S249" i="43"/>
  <c r="K249" i="43"/>
  <c r="J249" i="43"/>
  <c r="M249" i="43"/>
  <c r="G249" i="43"/>
  <c r="J248" i="43" a="1"/>
  <c r="U248" i="43"/>
  <c r="T248" i="43" l="1"/>
  <c r="L248" i="43"/>
  <c r="J248" i="43"/>
  <c r="P248" i="43"/>
  <c r="S248" i="43"/>
  <c r="K248" i="43"/>
  <c r="Q248" i="43"/>
  <c r="N248" i="43"/>
  <c r="M248" i="43"/>
  <c r="R248" i="43"/>
  <c r="O248" i="43"/>
  <c r="G248" i="43"/>
  <c r="U247" i="43"/>
  <c r="J247" i="43" a="1"/>
  <c r="T247" i="43" l="1"/>
  <c r="L247" i="43"/>
  <c r="K247" i="43"/>
  <c r="R247" i="43"/>
  <c r="Q247" i="43"/>
  <c r="N247" i="43"/>
  <c r="S247" i="43"/>
  <c r="J247" i="43"/>
  <c r="P247" i="43"/>
  <c r="O247" i="43"/>
  <c r="M247" i="43"/>
  <c r="G247" i="43"/>
  <c r="U246" i="43"/>
  <c r="J246" i="43" a="1"/>
  <c r="T246" i="43" l="1"/>
  <c r="L246" i="43"/>
  <c r="S246" i="43"/>
  <c r="K246" i="43"/>
  <c r="R246" i="43"/>
  <c r="J246" i="43"/>
  <c r="Q246" i="43"/>
  <c r="P246" i="43"/>
  <c r="O246" i="43"/>
  <c r="N246" i="43"/>
  <c r="M246" i="43"/>
  <c r="G246" i="43"/>
  <c r="G245" i="43"/>
  <c r="G244" i="43"/>
  <c r="U242" i="43"/>
  <c r="U243" i="43"/>
  <c r="J243" i="43" a="1"/>
  <c r="G243" i="43"/>
  <c r="O243" i="43" l="1"/>
  <c r="S243" i="43"/>
  <c r="P243" i="43"/>
  <c r="N243" i="43"/>
  <c r="L243" i="43"/>
  <c r="J243" i="43"/>
  <c r="Q243" i="43"/>
  <c r="M243" i="43"/>
  <c r="T243" i="43"/>
  <c r="K243" i="43"/>
  <c r="R243" i="43"/>
  <c r="J242" i="43" a="1"/>
  <c r="U241" i="43"/>
  <c r="G242" i="43"/>
  <c r="O242" i="43" l="1"/>
  <c r="S242" i="43"/>
  <c r="R242" i="43"/>
  <c r="J242" i="43"/>
  <c r="Q242" i="43"/>
  <c r="P242" i="43"/>
  <c r="N242" i="43"/>
  <c r="M242" i="43"/>
  <c r="T242" i="43"/>
  <c r="L242" i="43"/>
  <c r="K242" i="43"/>
  <c r="J241" i="43" a="1"/>
  <c r="U240" i="43"/>
  <c r="G241" i="43"/>
  <c r="O241" i="43" l="1"/>
  <c r="N241" i="43"/>
  <c r="M241" i="43"/>
  <c r="T241" i="43"/>
  <c r="L241" i="43"/>
  <c r="S241" i="43"/>
  <c r="K241" i="43"/>
  <c r="R241" i="43"/>
  <c r="J241" i="43"/>
  <c r="Q241" i="43"/>
  <c r="P241" i="43"/>
  <c r="U239" i="43"/>
  <c r="J240" i="43" a="1"/>
  <c r="G240" i="43"/>
  <c r="O240" i="43" l="1"/>
  <c r="T240" i="43"/>
  <c r="J240" i="43"/>
  <c r="Q240" i="43"/>
  <c r="N240" i="43"/>
  <c r="M240" i="43"/>
  <c r="L240" i="43"/>
  <c r="S240" i="43"/>
  <c r="K240" i="43"/>
  <c r="R240" i="43"/>
  <c r="P240" i="43"/>
  <c r="U238" i="43"/>
  <c r="J239" i="43" a="1"/>
  <c r="G239" i="43"/>
  <c r="O239" i="43" l="1"/>
  <c r="N239" i="43"/>
  <c r="M239" i="43"/>
  <c r="T239" i="43"/>
  <c r="L239" i="43"/>
  <c r="S239" i="43"/>
  <c r="K239" i="43"/>
  <c r="R239" i="43"/>
  <c r="J239" i="43"/>
  <c r="Q239" i="43"/>
  <c r="P239" i="43"/>
  <c r="U237" i="43"/>
  <c r="J238" i="43" a="1"/>
  <c r="G238" i="43"/>
  <c r="O238" i="43" l="1"/>
  <c r="M238" i="43"/>
  <c r="L238" i="43"/>
  <c r="S238" i="43"/>
  <c r="R238" i="43"/>
  <c r="Q238" i="43"/>
  <c r="P238" i="43"/>
  <c r="N238" i="43"/>
  <c r="T238" i="43"/>
  <c r="K238" i="43"/>
  <c r="J238" i="43"/>
  <c r="J237" i="43" a="1"/>
  <c r="U236" i="43"/>
  <c r="G237" i="43"/>
  <c r="O237" i="43" l="1"/>
  <c r="N237" i="43"/>
  <c r="M237" i="43"/>
  <c r="T237" i="43"/>
  <c r="S237" i="43"/>
  <c r="K237" i="43"/>
  <c r="R237" i="43"/>
  <c r="J237" i="43"/>
  <c r="Q237" i="43"/>
  <c r="P237" i="43"/>
  <c r="L237" i="43"/>
  <c r="U235" i="43"/>
  <c r="J236" i="43" a="1"/>
  <c r="G236" i="43"/>
  <c r="O236" i="43" l="1"/>
  <c r="N236" i="43"/>
  <c r="M236" i="43"/>
  <c r="T236" i="43"/>
  <c r="L236" i="43"/>
  <c r="S236" i="43"/>
  <c r="K236" i="43"/>
  <c r="R236" i="43"/>
  <c r="J236" i="43"/>
  <c r="Q236" i="43"/>
  <c r="P236" i="43"/>
  <c r="J235" i="43" a="1"/>
  <c r="U234" i="43"/>
  <c r="G235" i="43"/>
  <c r="O235" i="43" l="1"/>
  <c r="N235" i="43"/>
  <c r="M235" i="43"/>
  <c r="T235" i="43"/>
  <c r="L235" i="43"/>
  <c r="S235" i="43"/>
  <c r="K235" i="43"/>
  <c r="R235" i="43"/>
  <c r="J235" i="43"/>
  <c r="Q235" i="43"/>
  <c r="P235" i="43"/>
  <c r="U233" i="43"/>
  <c r="J234" i="43" a="1"/>
  <c r="G234" i="43"/>
  <c r="O234" i="43" l="1"/>
  <c r="T234" i="43"/>
  <c r="K234" i="43"/>
  <c r="R234" i="43"/>
  <c r="N234" i="43"/>
  <c r="S234" i="43"/>
  <c r="P234" i="43"/>
  <c r="M234" i="43"/>
  <c r="L234" i="43"/>
  <c r="J234" i="43"/>
  <c r="Q234" i="43"/>
  <c r="J233" i="43" a="1"/>
  <c r="U232" i="43"/>
  <c r="G233" i="43"/>
  <c r="O233" i="43" l="1"/>
  <c r="M233" i="43"/>
  <c r="L233" i="43"/>
  <c r="K233" i="43"/>
  <c r="R233" i="43"/>
  <c r="J233" i="43"/>
  <c r="Q233" i="43"/>
  <c r="P233" i="43"/>
  <c r="N233" i="43"/>
  <c r="T233" i="43"/>
  <c r="S233" i="43"/>
  <c r="J232" i="43" a="1"/>
  <c r="U231" i="43"/>
  <c r="G232" i="43"/>
  <c r="O232" i="43" l="1"/>
  <c r="T232" i="43"/>
  <c r="K232" i="43"/>
  <c r="J232" i="43"/>
  <c r="P232" i="43"/>
  <c r="N232" i="43"/>
  <c r="M232" i="43"/>
  <c r="S232" i="43"/>
  <c r="R232" i="43"/>
  <c r="L232" i="43"/>
  <c r="Q232" i="43"/>
  <c r="J231" i="43" a="1"/>
  <c r="U230" i="43"/>
  <c r="G231" i="43"/>
  <c r="O231" i="43" l="1"/>
  <c r="M231" i="43"/>
  <c r="T231" i="43"/>
  <c r="S231" i="43"/>
  <c r="Q231" i="43"/>
  <c r="N231" i="43"/>
  <c r="L231" i="43"/>
  <c r="K231" i="43"/>
  <c r="R231" i="43"/>
  <c r="J231" i="43"/>
  <c r="P231" i="43"/>
  <c r="U229" i="43"/>
  <c r="J230" i="43" a="1"/>
  <c r="G230" i="43"/>
  <c r="O230" i="43" l="1"/>
  <c r="L230" i="43"/>
  <c r="R230" i="43"/>
  <c r="N230" i="43"/>
  <c r="S230" i="43"/>
  <c r="M230" i="43"/>
  <c r="T230" i="43"/>
  <c r="K230" i="43"/>
  <c r="J230" i="43"/>
  <c r="Q230" i="43"/>
  <c r="P230" i="43"/>
  <c r="J229" i="43" a="1"/>
  <c r="U228" i="43"/>
  <c r="G229" i="43"/>
  <c r="O229" i="43" l="1"/>
  <c r="M229" i="43"/>
  <c r="N229" i="43"/>
  <c r="T229" i="43"/>
  <c r="L229" i="43"/>
  <c r="S229" i="43"/>
  <c r="K229" i="43"/>
  <c r="R229" i="43"/>
  <c r="J229" i="43"/>
  <c r="Q229" i="43"/>
  <c r="P229" i="43"/>
  <c r="J228" i="43" a="1"/>
  <c r="U227" i="43"/>
  <c r="G228" i="43"/>
  <c r="O228" i="43" l="1"/>
  <c r="N228" i="43"/>
  <c r="T228" i="43"/>
  <c r="L228" i="43"/>
  <c r="S228" i="43"/>
  <c r="K228" i="43"/>
  <c r="R228" i="43"/>
  <c r="J228" i="43"/>
  <c r="Q228" i="43"/>
  <c r="P228" i="43"/>
  <c r="M228" i="43"/>
  <c r="J227" i="43" a="1"/>
  <c r="U226" i="43"/>
  <c r="G227" i="43"/>
  <c r="N227" i="43" l="1"/>
  <c r="L227" i="43"/>
  <c r="K227" i="43"/>
  <c r="J227" i="43"/>
  <c r="P227" i="43"/>
  <c r="M227" i="43"/>
  <c r="T227" i="43"/>
  <c r="S227" i="43"/>
  <c r="R227" i="43"/>
  <c r="Q227" i="43"/>
  <c r="O227" i="43"/>
  <c r="U225" i="43"/>
  <c r="J226" i="43" a="1"/>
  <c r="G226" i="43"/>
  <c r="O226" i="43" l="1"/>
  <c r="M226" i="43"/>
  <c r="S226" i="43"/>
  <c r="P226" i="43"/>
  <c r="N226" i="43"/>
  <c r="L226" i="43"/>
  <c r="K226" i="43"/>
  <c r="R226" i="43"/>
  <c r="T226" i="43"/>
  <c r="J226" i="43"/>
  <c r="Q226" i="43"/>
  <c r="J225" i="43" a="1"/>
  <c r="U224" i="43"/>
  <c r="G225" i="43"/>
  <c r="O225" i="43" l="1"/>
  <c r="N225" i="43"/>
  <c r="M225" i="43"/>
  <c r="T225" i="43"/>
  <c r="L225" i="43"/>
  <c r="S225" i="43"/>
  <c r="K225" i="43"/>
  <c r="R225" i="43"/>
  <c r="J225" i="43"/>
  <c r="Q225" i="43"/>
  <c r="P225" i="43"/>
  <c r="J224" i="43" a="1"/>
  <c r="U223" i="43"/>
  <c r="G224" i="43"/>
  <c r="O224" i="43" l="1"/>
  <c r="M224" i="43"/>
  <c r="T224" i="43"/>
  <c r="L224" i="43"/>
  <c r="S224" i="43"/>
  <c r="R224" i="43"/>
  <c r="J224" i="43"/>
  <c r="Q224" i="43"/>
  <c r="P224" i="43"/>
  <c r="N224" i="43"/>
  <c r="K224" i="43"/>
  <c r="U222" i="43"/>
  <c r="J223" i="43" a="1"/>
  <c r="G223" i="43"/>
  <c r="O223" i="43" l="1"/>
  <c r="M223" i="43"/>
  <c r="T223" i="43"/>
  <c r="L223" i="43"/>
  <c r="S223" i="43"/>
  <c r="K223" i="43"/>
  <c r="R223" i="43"/>
  <c r="J223" i="43"/>
  <c r="Q223" i="43"/>
  <c r="P223" i="43"/>
  <c r="N223" i="43"/>
  <c r="J222" i="43" a="1"/>
  <c r="U221" i="43"/>
  <c r="G222" i="43"/>
  <c r="O222" i="43" l="1"/>
  <c r="L222" i="43"/>
  <c r="S222" i="43"/>
  <c r="J222" i="43"/>
  <c r="N222" i="43"/>
  <c r="M222" i="43"/>
  <c r="T222" i="43"/>
  <c r="K222" i="43"/>
  <c r="R222" i="43"/>
  <c r="Q222" i="43"/>
  <c r="P222" i="43"/>
  <c r="J221" i="43" a="1"/>
  <c r="U220" i="43"/>
  <c r="G221" i="43"/>
  <c r="O221" i="43" l="1"/>
  <c r="N221" i="43"/>
  <c r="M221" i="43"/>
  <c r="T221" i="43"/>
  <c r="L221" i="43"/>
  <c r="S221" i="43"/>
  <c r="K221" i="43"/>
  <c r="J221" i="43"/>
  <c r="Q221" i="43"/>
  <c r="P221" i="43"/>
  <c r="R221" i="43"/>
  <c r="J220" i="43" a="1"/>
  <c r="U219" i="43"/>
  <c r="G220" i="43"/>
  <c r="O220" i="43" l="1"/>
  <c r="N220" i="43"/>
  <c r="M220" i="43"/>
  <c r="T220" i="43"/>
  <c r="L220" i="43"/>
  <c r="S220" i="43"/>
  <c r="K220" i="43"/>
  <c r="R220" i="43"/>
  <c r="J220" i="43"/>
  <c r="Q220" i="43"/>
  <c r="P220" i="43"/>
  <c r="J219" i="43" a="1"/>
  <c r="U218" i="43"/>
  <c r="G219" i="43"/>
  <c r="O219" i="43" l="1"/>
  <c r="N219" i="43"/>
  <c r="M219" i="43"/>
  <c r="T219" i="43"/>
  <c r="L219" i="43"/>
  <c r="S219" i="43"/>
  <c r="K219" i="43"/>
  <c r="R219" i="43"/>
  <c r="J219" i="43"/>
  <c r="Q219" i="43"/>
  <c r="P219" i="43"/>
  <c r="U217" i="43"/>
  <c r="J218" i="43" a="1"/>
  <c r="G218" i="43"/>
  <c r="O218" i="43" l="1"/>
  <c r="M218" i="43"/>
  <c r="S218" i="43"/>
  <c r="J218" i="43"/>
  <c r="N218" i="43"/>
  <c r="T218" i="43"/>
  <c r="L218" i="43"/>
  <c r="K218" i="43"/>
  <c r="R218" i="43"/>
  <c r="Q218" i="43"/>
  <c r="P218" i="43"/>
  <c r="U216" i="43"/>
  <c r="J217" i="43" a="1"/>
  <c r="G217" i="43"/>
  <c r="O217" i="43" l="1"/>
  <c r="N217" i="43"/>
  <c r="M217" i="43"/>
  <c r="T217" i="43"/>
  <c r="L217" i="43"/>
  <c r="S217" i="43"/>
  <c r="K217" i="43"/>
  <c r="R217" i="43"/>
  <c r="J217" i="43"/>
  <c r="Q217" i="43"/>
  <c r="P217" i="43"/>
  <c r="J216" i="43" a="1"/>
  <c r="U215" i="43"/>
  <c r="G216" i="43"/>
  <c r="O216" i="43" l="1"/>
  <c r="M216" i="43"/>
  <c r="L216" i="43"/>
  <c r="K216" i="43"/>
  <c r="P216" i="43"/>
  <c r="N216" i="43"/>
  <c r="T216" i="43"/>
  <c r="S216" i="43"/>
  <c r="R216" i="43"/>
  <c r="Q216" i="43"/>
  <c r="J216" i="43"/>
  <c r="J215" i="43" a="1"/>
  <c r="U214" i="43"/>
  <c r="G215" i="43"/>
  <c r="O215" i="43" l="1"/>
  <c r="M215" i="43"/>
  <c r="L215" i="43"/>
  <c r="S215" i="43"/>
  <c r="J215" i="43"/>
  <c r="P215" i="43"/>
  <c r="N215" i="43"/>
  <c r="T215" i="43"/>
  <c r="K215" i="43"/>
  <c r="R215" i="43"/>
  <c r="Q215" i="43"/>
  <c r="J214" i="43" a="1"/>
  <c r="U213" i="43"/>
  <c r="G214" i="43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G213" i="43"/>
  <c r="O213" i="43" l="1"/>
  <c r="N213" i="43"/>
  <c r="M213" i="43"/>
  <c r="T213" i="43"/>
  <c r="L213" i="43"/>
  <c r="S213" i="43"/>
  <c r="K213" i="43"/>
  <c r="R213" i="43"/>
  <c r="J213" i="43"/>
  <c r="Q213" i="43"/>
  <c r="P213" i="43"/>
  <c r="J212" i="43" a="1"/>
  <c r="U211" i="43"/>
  <c r="G212" i="43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G211" i="43"/>
  <c r="O211" i="43" l="1"/>
  <c r="M211" i="43"/>
  <c r="T211" i="43"/>
  <c r="K211" i="43"/>
  <c r="R211" i="43"/>
  <c r="Q211" i="43"/>
  <c r="P211" i="43"/>
  <c r="N211" i="43"/>
  <c r="L211" i="43"/>
  <c r="S211" i="43"/>
  <c r="J211" i="43"/>
  <c r="U209" i="43"/>
  <c r="J210" i="43" a="1"/>
  <c r="G210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G209" i="43"/>
  <c r="O209" i="43" l="1"/>
  <c r="M209" i="43"/>
  <c r="T209" i="43"/>
  <c r="K209" i="43"/>
  <c r="R209" i="43"/>
  <c r="Q209" i="43"/>
  <c r="P209" i="43"/>
  <c r="N209" i="43"/>
  <c r="L209" i="43"/>
  <c r="S209" i="43"/>
  <c r="J209" i="43"/>
  <c r="J208" i="43" a="1"/>
  <c r="U207" i="43"/>
  <c r="G208" i="43"/>
  <c r="O208" i="43" l="1"/>
  <c r="M208" i="43"/>
  <c r="R208" i="43"/>
  <c r="P208" i="43"/>
  <c r="N208" i="43"/>
  <c r="T208" i="43"/>
  <c r="S208" i="43"/>
  <c r="K208" i="43"/>
  <c r="J208" i="43"/>
  <c r="Q208" i="43"/>
  <c r="L208" i="43"/>
  <c r="J207" i="43" a="1"/>
  <c r="U206" i="43"/>
  <c r="G207" i="43"/>
  <c r="O207" i="43" l="1"/>
  <c r="N207" i="43"/>
  <c r="M207" i="43"/>
  <c r="T207" i="43"/>
  <c r="L207" i="43"/>
  <c r="S207" i="43"/>
  <c r="K207" i="43"/>
  <c r="R207" i="43"/>
  <c r="J207" i="43"/>
  <c r="Q207" i="43"/>
  <c r="P207" i="43"/>
  <c r="J206" i="43" a="1"/>
  <c r="U205" i="43"/>
  <c r="G206" i="43"/>
  <c r="N206" i="43" l="1"/>
  <c r="M206" i="43"/>
  <c r="J206" i="43"/>
  <c r="Q206" i="43"/>
  <c r="P206" i="43"/>
  <c r="O206" i="43"/>
  <c r="T206" i="43"/>
  <c r="L206" i="43"/>
  <c r="S206" i="43"/>
  <c r="K206" i="43"/>
  <c r="R206" i="43"/>
  <c r="U204" i="43"/>
  <c r="J205" i="43" a="1"/>
  <c r="G205" i="43"/>
  <c r="O205" i="43" l="1"/>
  <c r="N205" i="43"/>
  <c r="M205" i="43"/>
  <c r="T205" i="43"/>
  <c r="L205" i="43"/>
  <c r="S205" i="43"/>
  <c r="K205" i="43"/>
  <c r="R205" i="43"/>
  <c r="J205" i="43"/>
  <c r="Q205" i="43"/>
  <c r="P205" i="43"/>
  <c r="U203" i="43"/>
  <c r="J204" i="43" a="1"/>
  <c r="G204" i="43"/>
  <c r="O204" i="43" l="1"/>
  <c r="M204" i="43"/>
  <c r="T204" i="43"/>
  <c r="L204" i="43"/>
  <c r="S204" i="43"/>
  <c r="R204" i="43"/>
  <c r="Q204" i="43"/>
  <c r="N204" i="43"/>
  <c r="J204" i="43"/>
  <c r="P204" i="43"/>
  <c r="K204" i="43"/>
  <c r="J203" i="43" a="1"/>
  <c r="U202" i="43"/>
  <c r="G203" i="43"/>
  <c r="T203" i="43" l="1"/>
  <c r="L203" i="43"/>
  <c r="R203" i="43"/>
  <c r="O203" i="43"/>
  <c r="N203" i="43"/>
  <c r="S203" i="43"/>
  <c r="K203" i="43"/>
  <c r="J203" i="43"/>
  <c r="Q203" i="43"/>
  <c r="P203" i="43"/>
  <c r="M203" i="43"/>
  <c r="J202" i="43" a="1"/>
  <c r="U201" i="43"/>
  <c r="G202" i="43"/>
  <c r="O202" i="43" l="1"/>
  <c r="T202" i="43"/>
  <c r="K202" i="43"/>
  <c r="J202" i="43"/>
  <c r="N202" i="43"/>
  <c r="P202" i="43"/>
  <c r="M202" i="43"/>
  <c r="L202" i="43"/>
  <c r="S202" i="43"/>
  <c r="R202" i="43"/>
  <c r="Q202" i="43"/>
  <c r="J201" i="43" a="1"/>
  <c r="U200" i="43"/>
  <c r="G201" i="43"/>
  <c r="O201" i="43" l="1"/>
  <c r="N201" i="43"/>
  <c r="K201" i="43"/>
  <c r="R201" i="43"/>
  <c r="Q201" i="43"/>
  <c r="P201" i="43"/>
  <c r="M201" i="43"/>
  <c r="T201" i="43"/>
  <c r="S201" i="43"/>
  <c r="J201" i="43"/>
  <c r="L201" i="43"/>
  <c r="J200" i="43" a="1"/>
  <c r="U199" i="43"/>
  <c r="G200" i="43"/>
  <c r="N200" i="43" l="1"/>
  <c r="M200" i="43"/>
  <c r="T200" i="43"/>
  <c r="L200" i="43"/>
  <c r="S200" i="43"/>
  <c r="K200" i="43"/>
  <c r="R200" i="43"/>
  <c r="J200" i="43"/>
  <c r="Q200" i="43"/>
  <c r="P200" i="43"/>
  <c r="O200" i="43"/>
  <c r="U198" i="43"/>
  <c r="J199" i="43" a="1"/>
  <c r="G199" i="43"/>
  <c r="N199" i="43" l="1"/>
  <c r="M199" i="43"/>
  <c r="T199" i="43"/>
  <c r="L199" i="43"/>
  <c r="S199" i="43"/>
  <c r="K199" i="43"/>
  <c r="R199" i="43"/>
  <c r="J199" i="43"/>
  <c r="Q199" i="43"/>
  <c r="P199" i="43"/>
  <c r="O199" i="43"/>
  <c r="U197" i="43"/>
  <c r="J198" i="43" a="1"/>
  <c r="G198" i="43"/>
  <c r="O198" i="43" l="1"/>
  <c r="M198" i="43"/>
  <c r="L198" i="43"/>
  <c r="S198" i="43"/>
  <c r="J198" i="43"/>
  <c r="Q198" i="43"/>
  <c r="P198" i="43"/>
  <c r="N198" i="43"/>
  <c r="T198" i="43"/>
  <c r="K198" i="43"/>
  <c r="R198" i="43"/>
  <c r="J197" i="43" a="1"/>
  <c r="U196" i="43"/>
  <c r="G197" i="43"/>
  <c r="O197" i="43" l="1"/>
  <c r="N197" i="43"/>
  <c r="M197" i="43"/>
  <c r="T197" i="43"/>
  <c r="L197" i="43"/>
  <c r="S197" i="43"/>
  <c r="K197" i="43"/>
  <c r="R197" i="43"/>
  <c r="J197" i="43"/>
  <c r="Q197" i="43"/>
  <c r="P197" i="43"/>
  <c r="J196" i="43" a="1"/>
  <c r="U195" i="43"/>
  <c r="G196" i="43"/>
  <c r="O196" i="43" l="1"/>
  <c r="N196" i="43"/>
  <c r="M196" i="43"/>
  <c r="T196" i="43"/>
  <c r="L196" i="43"/>
  <c r="S196" i="43"/>
  <c r="K196" i="43"/>
  <c r="R196" i="43"/>
  <c r="J196" i="43"/>
  <c r="Q196" i="43"/>
  <c r="P196" i="43"/>
  <c r="J195" i="43" a="1"/>
  <c r="U194" i="43"/>
  <c r="G195" i="43"/>
  <c r="O195" i="43" l="1"/>
  <c r="N195" i="43"/>
  <c r="M195" i="43"/>
  <c r="T195" i="43"/>
  <c r="L195" i="43"/>
  <c r="K195" i="43"/>
  <c r="R195" i="43"/>
  <c r="J195" i="43"/>
  <c r="Q195" i="43"/>
  <c r="P195" i="43"/>
  <c r="S195" i="43"/>
  <c r="J194" i="43" a="1"/>
  <c r="U193" i="43"/>
  <c r="G194" i="43"/>
  <c r="O194" i="43" l="1"/>
  <c r="M194" i="43"/>
  <c r="T194" i="43"/>
  <c r="K194" i="43"/>
  <c r="R194" i="43"/>
  <c r="J194" i="43"/>
  <c r="N194" i="43"/>
  <c r="L194" i="43"/>
  <c r="S194" i="43"/>
  <c r="Q194" i="43"/>
  <c r="P194" i="43"/>
  <c r="J193" i="43" a="1"/>
  <c r="U192" i="43"/>
  <c r="G193" i="43"/>
  <c r="O193" i="43" l="1"/>
  <c r="N193" i="43"/>
  <c r="M193" i="43"/>
  <c r="L193" i="43"/>
  <c r="S193" i="43"/>
  <c r="K193" i="43"/>
  <c r="R193" i="43"/>
  <c r="J193" i="43"/>
  <c r="Q193" i="43"/>
  <c r="P193" i="43"/>
  <c r="T193" i="43"/>
  <c r="U191" i="43"/>
  <c r="J192" i="43" a="1"/>
  <c r="G192" i="43"/>
  <c r="O192" i="43" l="1"/>
  <c r="N192" i="43"/>
  <c r="M192" i="43"/>
  <c r="T192" i="43"/>
  <c r="L192" i="43"/>
  <c r="S192" i="43"/>
  <c r="K192" i="43"/>
  <c r="R192" i="43"/>
  <c r="J192" i="43"/>
  <c r="Q192" i="43"/>
  <c r="P192" i="43"/>
  <c r="U190" i="43"/>
  <c r="J191" i="43" a="1"/>
  <c r="G191" i="43"/>
  <c r="O191" i="43" l="1"/>
  <c r="M191" i="43"/>
  <c r="T191" i="43"/>
  <c r="L191" i="43"/>
  <c r="S191" i="43"/>
  <c r="J191" i="43"/>
  <c r="Q191" i="43"/>
  <c r="P191" i="43"/>
  <c r="N191" i="43"/>
  <c r="K191" i="43"/>
  <c r="R191" i="43"/>
  <c r="J190" i="43" a="1"/>
  <c r="U189" i="43"/>
  <c r="G190" i="43"/>
  <c r="O190" i="43" l="1"/>
  <c r="N190" i="43"/>
  <c r="M190" i="43"/>
  <c r="T190" i="43"/>
  <c r="L190" i="43"/>
  <c r="S190" i="43"/>
  <c r="K190" i="43"/>
  <c r="R190" i="43"/>
  <c r="J190" i="43"/>
  <c r="Q190" i="43"/>
  <c r="P190" i="43"/>
  <c r="J189" i="43" a="1"/>
  <c r="U188" i="43"/>
  <c r="G189" i="43"/>
  <c r="O189" i="43" l="1"/>
  <c r="M189" i="43"/>
  <c r="L189" i="43"/>
  <c r="S189" i="43"/>
  <c r="J189" i="43"/>
  <c r="Q189" i="43"/>
  <c r="P189" i="43"/>
  <c r="N189" i="43"/>
  <c r="T189" i="43"/>
  <c r="K189" i="43"/>
  <c r="R189" i="43"/>
  <c r="U187" i="43"/>
  <c r="J188" i="43" a="1"/>
  <c r="G188" i="43"/>
  <c r="N188" i="43" l="1"/>
  <c r="K188" i="43"/>
  <c r="R188" i="43"/>
  <c r="O188" i="43"/>
  <c r="M188" i="43"/>
  <c r="T188" i="43"/>
  <c r="L188" i="43"/>
  <c r="S188" i="43"/>
  <c r="Q188" i="43"/>
  <c r="P188" i="43"/>
  <c r="J188" i="43"/>
  <c r="J187" i="43" a="1"/>
  <c r="U186" i="43"/>
  <c r="G187" i="43"/>
  <c r="N187" i="43" l="1"/>
  <c r="M187" i="43"/>
  <c r="T187" i="43"/>
  <c r="L187" i="43"/>
  <c r="S187" i="43"/>
  <c r="K187" i="43"/>
  <c r="R187" i="43"/>
  <c r="J187" i="43"/>
  <c r="Q187" i="43"/>
  <c r="P187" i="43"/>
  <c r="O187" i="43"/>
  <c r="J186" i="43" a="1"/>
  <c r="U185" i="43"/>
  <c r="G186" i="43"/>
  <c r="N186" i="43" l="1"/>
  <c r="K186" i="43"/>
  <c r="R186" i="43"/>
  <c r="M186" i="43"/>
  <c r="Q186" i="43"/>
  <c r="T186" i="43"/>
  <c r="L186" i="43"/>
  <c r="S186" i="43"/>
  <c r="J186" i="43"/>
  <c r="P186" i="43"/>
  <c r="O186" i="43"/>
  <c r="J185" i="43" a="1"/>
  <c r="U184" i="43"/>
  <c r="G185" i="43"/>
  <c r="O185" i="43" l="1"/>
  <c r="T185" i="43"/>
  <c r="L185" i="43"/>
  <c r="S185" i="43"/>
  <c r="R185" i="43"/>
  <c r="J185" i="43"/>
  <c r="P185" i="43"/>
  <c r="N185" i="43"/>
  <c r="K185" i="43"/>
  <c r="M185" i="43"/>
  <c r="Q185" i="43"/>
  <c r="J184" i="43" a="1"/>
  <c r="U183" i="43"/>
  <c r="G184" i="43"/>
  <c r="N184" i="43" l="1"/>
  <c r="T184" i="43"/>
  <c r="L184" i="43"/>
  <c r="S184" i="43"/>
  <c r="K184" i="43"/>
  <c r="R184" i="43"/>
  <c r="J184" i="43"/>
  <c r="Q184" i="43"/>
  <c r="P184" i="43"/>
  <c r="O184" i="43"/>
  <c r="M184" i="43"/>
  <c r="U182" i="43"/>
  <c r="J183" i="43" a="1"/>
  <c r="G183" i="43"/>
  <c r="O183" i="43" l="1"/>
  <c r="N183" i="43"/>
  <c r="T183" i="43"/>
  <c r="R183" i="43"/>
  <c r="J183" i="43"/>
  <c r="P183" i="43"/>
  <c r="M183" i="43"/>
  <c r="L183" i="43"/>
  <c r="S183" i="43"/>
  <c r="K183" i="43"/>
  <c r="Q183" i="43"/>
  <c r="U181" i="43"/>
  <c r="J182" i="43" a="1"/>
  <c r="G182" i="43"/>
  <c r="O182" i="43" l="1"/>
  <c r="T182" i="43"/>
  <c r="L182" i="43"/>
  <c r="K182" i="43"/>
  <c r="R182" i="43"/>
  <c r="N182" i="43"/>
  <c r="M182" i="43"/>
  <c r="S182" i="43"/>
  <c r="J182" i="43"/>
  <c r="Q182" i="43"/>
  <c r="P182" i="43"/>
  <c r="U180" i="43"/>
  <c r="J181" i="43" a="1"/>
  <c r="G181" i="43"/>
  <c r="N181" i="43" l="1"/>
  <c r="M181" i="43"/>
  <c r="T181" i="43"/>
  <c r="L181" i="43"/>
  <c r="S181" i="43"/>
  <c r="K181" i="43"/>
  <c r="R181" i="43"/>
  <c r="J181" i="43"/>
  <c r="Q181" i="43"/>
  <c r="P181" i="43"/>
  <c r="O181" i="43"/>
  <c r="U179" i="43"/>
  <c r="J180" i="43" a="1"/>
  <c r="G180" i="43"/>
  <c r="N180" i="43" l="1"/>
  <c r="M180" i="43"/>
  <c r="L180" i="43"/>
  <c r="S180" i="43"/>
  <c r="R180" i="43"/>
  <c r="Q180" i="43"/>
  <c r="P180" i="43"/>
  <c r="O180" i="43"/>
  <c r="T180" i="43"/>
  <c r="J180" i="43"/>
  <c r="K180" i="43"/>
  <c r="J179" i="43" a="1"/>
  <c r="U178" i="43"/>
  <c r="G179" i="43"/>
  <c r="N179" i="43" l="1"/>
  <c r="M179" i="43"/>
  <c r="T179" i="43"/>
  <c r="L179" i="43"/>
  <c r="S179" i="43"/>
  <c r="K179" i="43"/>
  <c r="R179" i="43"/>
  <c r="J179" i="43"/>
  <c r="Q179" i="43"/>
  <c r="P179" i="43"/>
  <c r="O179" i="43"/>
  <c r="J178" i="43" a="1"/>
  <c r="U177" i="43"/>
  <c r="G178" i="43"/>
  <c r="O178" i="43" l="1"/>
  <c r="N178" i="43"/>
  <c r="M178" i="43"/>
  <c r="L178" i="43"/>
  <c r="S178" i="43"/>
  <c r="K178" i="43"/>
  <c r="R178" i="43"/>
  <c r="J178" i="43"/>
  <c r="Q178" i="43"/>
  <c r="P178" i="43"/>
  <c r="T178" i="43"/>
  <c r="J177" i="43" a="1"/>
  <c r="U176" i="43"/>
  <c r="G177" i="43"/>
  <c r="N177" i="43" l="1"/>
  <c r="M177" i="43"/>
  <c r="T177" i="43"/>
  <c r="L177" i="43"/>
  <c r="S177" i="43"/>
  <c r="K177" i="43"/>
  <c r="R177" i="43"/>
  <c r="J177" i="43"/>
  <c r="P177" i="43"/>
  <c r="Q177" i="43"/>
  <c r="O177" i="43"/>
  <c r="J176" i="43" a="1"/>
  <c r="U175" i="43"/>
  <c r="G176" i="43"/>
  <c r="O176" i="43" l="1"/>
  <c r="M176" i="43"/>
  <c r="T176" i="43"/>
  <c r="K176" i="43"/>
  <c r="J176" i="43"/>
  <c r="Q176" i="43"/>
  <c r="P176" i="43"/>
  <c r="N176" i="43"/>
  <c r="L176" i="43"/>
  <c r="S176" i="43"/>
  <c r="R176" i="43"/>
  <c r="U174" i="43"/>
  <c r="J175" i="43" a="1"/>
  <c r="G175" i="43"/>
  <c r="O175" i="43" l="1"/>
  <c r="M175" i="43"/>
  <c r="T175" i="43"/>
  <c r="L175" i="43"/>
  <c r="S175" i="43"/>
  <c r="K175" i="43"/>
  <c r="R175" i="43"/>
  <c r="J175" i="43"/>
  <c r="Q175" i="43"/>
  <c r="P175" i="43"/>
  <c r="N175" i="43"/>
  <c r="U173" i="43"/>
  <c r="J174" i="43" a="1"/>
  <c r="G174" i="43"/>
  <c r="O174" i="43" l="1"/>
  <c r="M174" i="43"/>
  <c r="T174" i="43"/>
  <c r="S174" i="43"/>
  <c r="R174" i="43"/>
  <c r="P174" i="43"/>
  <c r="N174" i="43"/>
  <c r="L174" i="43"/>
  <c r="K174" i="43"/>
  <c r="J174" i="43"/>
  <c r="Q174" i="43"/>
  <c r="J173" i="43" a="1"/>
  <c r="U172" i="43"/>
  <c r="G173" i="43"/>
  <c r="O173" i="43" l="1"/>
  <c r="N173" i="43"/>
  <c r="M173" i="43"/>
  <c r="T173" i="43"/>
  <c r="L173" i="43"/>
  <c r="S173" i="43"/>
  <c r="K173" i="43"/>
  <c r="R173" i="43"/>
  <c r="J173" i="43"/>
  <c r="Q173" i="43"/>
  <c r="P173" i="43"/>
  <c r="J172" i="43" a="1"/>
  <c r="U171" i="43"/>
  <c r="G172" i="43"/>
  <c r="O172" i="43" l="1"/>
  <c r="M172" i="43"/>
  <c r="T172" i="43"/>
  <c r="L172" i="43"/>
  <c r="S172" i="43"/>
  <c r="R172" i="43"/>
  <c r="N172" i="43"/>
  <c r="K172" i="43"/>
  <c r="J172" i="43"/>
  <c r="Q172" i="43"/>
  <c r="P172" i="43"/>
  <c r="U170" i="43"/>
  <c r="J171" i="43" a="1"/>
  <c r="G171" i="43"/>
  <c r="O171" i="43" l="1"/>
  <c r="M171" i="43"/>
  <c r="K171" i="43"/>
  <c r="R171" i="43"/>
  <c r="N171" i="43"/>
  <c r="T171" i="43"/>
  <c r="L171" i="43"/>
  <c r="S171" i="43"/>
  <c r="J171" i="43"/>
  <c r="Q171" i="43"/>
  <c r="P171" i="43"/>
  <c r="J170" i="43" a="1"/>
  <c r="U169" i="43"/>
  <c r="G170" i="43"/>
  <c r="O170" i="43" l="1"/>
  <c r="L170" i="43"/>
  <c r="S170" i="43"/>
  <c r="J170" i="43"/>
  <c r="N170" i="43"/>
  <c r="T170" i="43"/>
  <c r="R170" i="43"/>
  <c r="P170" i="43"/>
  <c r="M170" i="43"/>
  <c r="K170" i="43"/>
  <c r="Q170" i="43"/>
  <c r="U168" i="43"/>
  <c r="J169" i="43" a="1"/>
  <c r="G169" i="43"/>
  <c r="N169" i="43" l="1"/>
  <c r="M169" i="43"/>
  <c r="T169" i="43"/>
  <c r="L169" i="43"/>
  <c r="S169" i="43"/>
  <c r="K169" i="43"/>
  <c r="R169" i="43"/>
  <c r="J169" i="43"/>
  <c r="Q169" i="43"/>
  <c r="P169" i="43"/>
  <c r="O169" i="43"/>
  <c r="J168" i="43" a="1"/>
  <c r="U167" i="43"/>
  <c r="G168" i="43"/>
  <c r="O168" i="43" l="1"/>
  <c r="N168" i="43"/>
  <c r="M168" i="43"/>
  <c r="L168" i="43"/>
  <c r="S168" i="43"/>
  <c r="K168" i="43"/>
  <c r="R168" i="43"/>
  <c r="J168" i="43"/>
  <c r="Q168" i="43"/>
  <c r="T168" i="43"/>
  <c r="P168" i="43"/>
  <c r="J167" i="43" a="1"/>
  <c r="U166" i="43"/>
  <c r="G167" i="43"/>
  <c r="N167" i="43" l="1"/>
  <c r="M167" i="43"/>
  <c r="T167" i="43"/>
  <c r="L167" i="43"/>
  <c r="S167" i="43"/>
  <c r="K167" i="43"/>
  <c r="R167" i="43"/>
  <c r="Q167" i="43"/>
  <c r="P167" i="43"/>
  <c r="O167" i="43"/>
  <c r="J167" i="43"/>
  <c r="U165" i="43"/>
  <c r="J166" i="43" a="1"/>
  <c r="G166" i="43"/>
  <c r="T166" i="43" l="1"/>
  <c r="L166" i="43"/>
  <c r="R166" i="43"/>
  <c r="Q166" i="43"/>
  <c r="P166" i="43"/>
  <c r="O166" i="43"/>
  <c r="M166" i="43"/>
  <c r="S166" i="43"/>
  <c r="K166" i="43"/>
  <c r="J166" i="43"/>
  <c r="N166" i="43"/>
  <c r="U164" i="43"/>
  <c r="J165" i="43" a="1"/>
  <c r="G165" i="43"/>
  <c r="O165" i="43" l="1"/>
  <c r="M165" i="43"/>
  <c r="T165" i="43"/>
  <c r="L165" i="43"/>
  <c r="S165" i="43"/>
  <c r="R165" i="43"/>
  <c r="Q165" i="43"/>
  <c r="P165" i="43"/>
  <c r="N165" i="43"/>
  <c r="K165" i="43"/>
  <c r="J165" i="43"/>
  <c r="U163" i="43"/>
  <c r="J164" i="43" a="1"/>
  <c r="G164" i="43"/>
  <c r="O164" i="43" l="1"/>
  <c r="M164" i="43"/>
  <c r="T164" i="43"/>
  <c r="L164" i="43"/>
  <c r="S164" i="43"/>
  <c r="K164" i="43"/>
  <c r="R164" i="43"/>
  <c r="J164" i="43"/>
  <c r="Q164" i="43"/>
  <c r="P164" i="43"/>
  <c r="N164" i="43"/>
  <c r="J163" i="43" a="1"/>
  <c r="U162" i="43"/>
  <c r="G163" i="43"/>
  <c r="O163" i="43" l="1"/>
  <c r="L163" i="43"/>
  <c r="J163" i="43"/>
  <c r="Q163" i="43"/>
  <c r="N163" i="43"/>
  <c r="M163" i="43"/>
  <c r="T163" i="43"/>
  <c r="R163" i="43"/>
  <c r="P163" i="43"/>
  <c r="S163" i="43"/>
  <c r="K163" i="43"/>
  <c r="U161" i="43"/>
  <c r="J162" i="43" a="1"/>
  <c r="G162" i="43"/>
  <c r="O162" i="43" l="1"/>
  <c r="S162" i="43"/>
  <c r="J162" i="43"/>
  <c r="N162" i="43"/>
  <c r="T162" i="43"/>
  <c r="K162" i="43"/>
  <c r="Q162" i="43"/>
  <c r="M162" i="43"/>
  <c r="L162" i="43"/>
  <c r="R162" i="43"/>
  <c r="P162" i="43"/>
  <c r="J161" i="43" a="1"/>
  <c r="U160" i="43"/>
  <c r="G161" i="43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G160" i="43"/>
  <c r="O160" i="43" l="1"/>
  <c r="T160" i="43"/>
  <c r="J160" i="43"/>
  <c r="P160" i="43"/>
  <c r="N160" i="43"/>
  <c r="L160" i="43"/>
  <c r="S160" i="43"/>
  <c r="Q160" i="43"/>
  <c r="M160" i="43"/>
  <c r="K160" i="43"/>
  <c r="R160" i="43"/>
  <c r="J159" i="43" a="1"/>
  <c r="U158" i="43"/>
  <c r="G159" i="43"/>
  <c r="O159" i="43" l="1"/>
  <c r="N159" i="43"/>
  <c r="M159" i="43"/>
  <c r="T159" i="43"/>
  <c r="L159" i="43"/>
  <c r="S159" i="43"/>
  <c r="K159" i="43"/>
  <c r="R159" i="43"/>
  <c r="J159" i="43"/>
  <c r="Q159" i="43"/>
  <c r="P159" i="43"/>
  <c r="J158" i="43" a="1"/>
  <c r="U157" i="43"/>
  <c r="G158" i="43"/>
  <c r="O158" i="43" l="1"/>
  <c r="T158" i="43"/>
  <c r="L158" i="43"/>
  <c r="K158" i="43"/>
  <c r="R158" i="43"/>
  <c r="J158" i="43"/>
  <c r="P158" i="43"/>
  <c r="N158" i="43"/>
  <c r="M158" i="43"/>
  <c r="S158" i="43"/>
  <c r="Q158" i="43"/>
  <c r="U156" i="43"/>
  <c r="J157" i="43" a="1"/>
  <c r="G157" i="43"/>
  <c r="O157" i="43" l="1"/>
  <c r="M157" i="43"/>
  <c r="T157" i="43"/>
  <c r="L157" i="43"/>
  <c r="S157" i="43"/>
  <c r="R157" i="43"/>
  <c r="Q157" i="43"/>
  <c r="P157" i="43"/>
  <c r="N157" i="43"/>
  <c r="K157" i="43"/>
  <c r="J157" i="43"/>
  <c r="U155" i="43"/>
  <c r="J156" i="43" a="1"/>
  <c r="G156" i="43"/>
  <c r="O156" i="43" l="1"/>
  <c r="T156" i="43"/>
  <c r="L156" i="43"/>
  <c r="J156" i="43"/>
  <c r="N156" i="43"/>
  <c r="S156" i="43"/>
  <c r="M156" i="43"/>
  <c r="K156" i="43"/>
  <c r="R156" i="43"/>
  <c r="P156" i="43"/>
  <c r="Q156" i="43"/>
  <c r="U154" i="43"/>
  <c r="J155" i="43" a="1"/>
  <c r="G155" i="43"/>
  <c r="O155" i="43" l="1"/>
  <c r="M155" i="43"/>
  <c r="L155" i="43"/>
  <c r="S155" i="43"/>
  <c r="K155" i="43"/>
  <c r="N155" i="43"/>
  <c r="T155" i="43"/>
  <c r="J155" i="43"/>
  <c r="Q155" i="43"/>
  <c r="P155" i="43"/>
  <c r="R155" i="43"/>
  <c r="U153" i="43"/>
  <c r="J154" i="43" a="1"/>
  <c r="G154" i="43"/>
  <c r="O154" i="43" l="1"/>
  <c r="N154" i="43"/>
  <c r="M154" i="43"/>
  <c r="T154" i="43"/>
  <c r="L154" i="43"/>
  <c r="S154" i="43"/>
  <c r="K154" i="43"/>
  <c r="R154" i="43"/>
  <c r="J154" i="43"/>
  <c r="Q154" i="43"/>
  <c r="P154" i="43"/>
  <c r="J153" i="43" a="1"/>
  <c r="U152" i="43"/>
  <c r="G153" i="43"/>
  <c r="O153" i="43" l="1"/>
  <c r="N153" i="43"/>
  <c r="M153" i="43"/>
  <c r="T153" i="43"/>
  <c r="L153" i="43"/>
  <c r="K153" i="43"/>
  <c r="R153" i="43"/>
  <c r="J153" i="43"/>
  <c r="Q153" i="43"/>
  <c r="P153" i="43"/>
  <c r="S153" i="43"/>
  <c r="U151" i="43"/>
  <c r="J152" i="43" a="1"/>
  <c r="G152" i="43"/>
  <c r="O152" i="43" l="1"/>
  <c r="M152" i="43"/>
  <c r="L152" i="43"/>
  <c r="S152" i="43"/>
  <c r="K152" i="43"/>
  <c r="J152" i="43"/>
  <c r="Q152" i="43"/>
  <c r="N152" i="43"/>
  <c r="T152" i="43"/>
  <c r="R152" i="43"/>
  <c r="P152" i="43"/>
  <c r="J151" i="43" a="1"/>
  <c r="U150" i="43"/>
  <c r="G151" i="43"/>
  <c r="N151" i="43" l="1"/>
  <c r="M151" i="43"/>
  <c r="R151" i="43"/>
  <c r="T151" i="43"/>
  <c r="L151" i="43"/>
  <c r="S151" i="43"/>
  <c r="K151" i="43"/>
  <c r="J151" i="43"/>
  <c r="Q151" i="43"/>
  <c r="P151" i="43"/>
  <c r="O151" i="43"/>
  <c r="J150" i="43" a="1"/>
  <c r="U149" i="43"/>
  <c r="G150" i="43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G149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8" i="43"/>
  <c r="O148" i="43" l="1"/>
  <c r="N148" i="43"/>
  <c r="M148" i="43"/>
  <c r="T148" i="43"/>
  <c r="L148" i="43"/>
  <c r="S148" i="43"/>
  <c r="K148" i="43"/>
  <c r="R148" i="43"/>
  <c r="J148" i="43"/>
  <c r="Q148" i="43"/>
  <c r="P148" i="43"/>
  <c r="U146" i="43"/>
  <c r="J147" i="43" a="1"/>
  <c r="G147" i="43"/>
  <c r="O147" i="43" l="1"/>
  <c r="M147" i="43"/>
  <c r="T147" i="43"/>
  <c r="K147" i="43"/>
  <c r="R147" i="43"/>
  <c r="Q147" i="43"/>
  <c r="N147" i="43"/>
  <c r="L147" i="43"/>
  <c r="S147" i="43"/>
  <c r="J147" i="43"/>
  <c r="P147" i="43"/>
  <c r="U145" i="43"/>
  <c r="J146" i="43" a="1"/>
  <c r="G146" i="43"/>
  <c r="O146" i="43" l="1"/>
  <c r="M146" i="43"/>
  <c r="T146" i="43"/>
  <c r="L146" i="43"/>
  <c r="S146" i="43"/>
  <c r="R146" i="43"/>
  <c r="P146" i="43"/>
  <c r="N146" i="43"/>
  <c r="K146" i="43"/>
  <c r="J146" i="43"/>
  <c r="Q146" i="43"/>
  <c r="U144" i="43"/>
  <c r="J145" i="43" a="1"/>
  <c r="G145" i="43"/>
  <c r="T145" i="43" l="1"/>
  <c r="L145" i="43"/>
  <c r="S145" i="43"/>
  <c r="K145" i="43"/>
  <c r="R145" i="43"/>
  <c r="J145" i="43"/>
  <c r="Q145" i="43"/>
  <c r="P145" i="43"/>
  <c r="O145" i="43"/>
  <c r="N145" i="43"/>
  <c r="M145" i="43"/>
  <c r="U143" i="43"/>
  <c r="J144" i="43" a="1"/>
  <c r="G144" i="43"/>
  <c r="O144" i="43" l="1"/>
  <c r="T144" i="43"/>
  <c r="K144" i="43"/>
  <c r="R144" i="43"/>
  <c r="P144" i="43"/>
  <c r="N144" i="43"/>
  <c r="M144" i="43"/>
  <c r="L144" i="43"/>
  <c r="S144" i="43"/>
  <c r="J144" i="43"/>
  <c r="Q144" i="43"/>
  <c r="J143" i="43" a="1"/>
  <c r="U142" i="43"/>
  <c r="G143" i="43"/>
  <c r="O143" i="43" l="1"/>
  <c r="T143" i="43"/>
  <c r="S143" i="43"/>
  <c r="R143" i="43"/>
  <c r="J143" i="43"/>
  <c r="N143" i="43"/>
  <c r="L143" i="43"/>
  <c r="K143" i="43"/>
  <c r="Q143" i="43"/>
  <c r="P143" i="43"/>
  <c r="M143" i="43"/>
  <c r="U141" i="43"/>
  <c r="J142" i="43" a="1"/>
  <c r="G142" i="43"/>
  <c r="O142" i="43" l="1"/>
  <c r="M142" i="43"/>
  <c r="T142" i="43"/>
  <c r="L142" i="43"/>
  <c r="S142" i="43"/>
  <c r="R142" i="43"/>
  <c r="Q142" i="43"/>
  <c r="P142" i="43"/>
  <c r="N142" i="43"/>
  <c r="K142" i="43"/>
  <c r="J142" i="43"/>
  <c r="U140" i="43"/>
  <c r="J141" i="43" a="1"/>
  <c r="G141" i="43"/>
  <c r="O141" i="43" l="1"/>
  <c r="N141" i="43"/>
  <c r="M141" i="43"/>
  <c r="J141" i="43"/>
  <c r="Q141" i="43"/>
  <c r="P141" i="43"/>
  <c r="T141" i="43"/>
  <c r="L141" i="43"/>
  <c r="S141" i="43"/>
  <c r="K141" i="43"/>
  <c r="R141" i="43"/>
  <c r="J140" i="43" a="1"/>
  <c r="U139" i="43"/>
  <c r="G140" i="43"/>
  <c r="O140" i="43" l="1"/>
  <c r="L140" i="43"/>
  <c r="S140" i="43"/>
  <c r="P140" i="43"/>
  <c r="N140" i="43"/>
  <c r="M140" i="43"/>
  <c r="K140" i="43"/>
  <c r="J140" i="43"/>
  <c r="Q140" i="43"/>
  <c r="T140" i="43"/>
  <c r="R140" i="43"/>
  <c r="J139" i="43" a="1"/>
  <c r="U138" i="43"/>
  <c r="G139" i="43"/>
  <c r="O139" i="43" l="1"/>
  <c r="L139" i="43"/>
  <c r="S139" i="43"/>
  <c r="R139" i="43"/>
  <c r="P139" i="43"/>
  <c r="N139" i="43"/>
  <c r="M139" i="43"/>
  <c r="T139" i="43"/>
  <c r="K139" i="43"/>
  <c r="J139" i="43"/>
  <c r="Q139" i="43"/>
  <c r="J138" i="43" a="1"/>
  <c r="U137" i="43"/>
  <c r="G138" i="43"/>
  <c r="O138" i="43" l="1"/>
  <c r="N138" i="43"/>
  <c r="M138" i="43"/>
  <c r="T138" i="43"/>
  <c r="L138" i="43"/>
  <c r="S138" i="43"/>
  <c r="K138" i="43"/>
  <c r="R138" i="43"/>
  <c r="J138" i="43"/>
  <c r="Q138" i="43"/>
  <c r="P138" i="43"/>
  <c r="J137" i="43" a="1"/>
  <c r="U136" i="43"/>
  <c r="G137" i="43"/>
  <c r="N137" i="43" l="1"/>
  <c r="M137" i="43"/>
  <c r="L137" i="43"/>
  <c r="S137" i="43"/>
  <c r="K137" i="43"/>
  <c r="R137" i="43"/>
  <c r="J137" i="43"/>
  <c r="Q137" i="43"/>
  <c r="O137" i="43"/>
  <c r="T137" i="43"/>
  <c r="P137" i="43"/>
  <c r="J136" i="43" a="1"/>
  <c r="U135" i="43"/>
  <c r="G136" i="43"/>
  <c r="O136" i="43" l="1"/>
  <c r="T136" i="43"/>
  <c r="K136" i="43"/>
  <c r="J136" i="43"/>
  <c r="N136" i="43"/>
  <c r="S136" i="43"/>
  <c r="R136" i="43"/>
  <c r="M136" i="43"/>
  <c r="L136" i="43"/>
  <c r="Q136" i="43"/>
  <c r="P136" i="43"/>
  <c r="J135" i="43" a="1"/>
  <c r="U134" i="43"/>
  <c r="G135" i="43"/>
  <c r="O135" i="43" l="1"/>
  <c r="N135" i="43"/>
  <c r="M135" i="43"/>
  <c r="T135" i="43"/>
  <c r="L135" i="43"/>
  <c r="S135" i="43"/>
  <c r="K135" i="43"/>
  <c r="R135" i="43"/>
  <c r="J135" i="43"/>
  <c r="Q135" i="43"/>
  <c r="P135" i="43"/>
  <c r="J134" i="43" a="1"/>
  <c r="U133" i="43"/>
  <c r="G134" i="43"/>
  <c r="O134" i="43" l="1"/>
  <c r="M134" i="43"/>
  <c r="N134" i="43"/>
  <c r="Q134" i="43"/>
  <c r="T134" i="43"/>
  <c r="L134" i="43"/>
  <c r="S134" i="43"/>
  <c r="K134" i="43"/>
  <c r="R134" i="43"/>
  <c r="J134" i="43"/>
  <c r="P134" i="43"/>
  <c r="J133" i="43" a="1"/>
  <c r="U132" i="43"/>
  <c r="G133" i="43"/>
  <c r="O133" i="43" l="1"/>
  <c r="M133" i="43"/>
  <c r="T133" i="43"/>
  <c r="K133" i="43"/>
  <c r="R133" i="43"/>
  <c r="J133" i="43"/>
  <c r="N133" i="43"/>
  <c r="L133" i="43"/>
  <c r="S133" i="43"/>
  <c r="Q133" i="43"/>
  <c r="P133" i="43"/>
  <c r="J132" i="43" a="1"/>
  <c r="U131" i="43"/>
  <c r="G132" i="43"/>
  <c r="N132" i="43" l="1"/>
  <c r="M132" i="43"/>
  <c r="T132" i="43"/>
  <c r="L132" i="43"/>
  <c r="S132" i="43"/>
  <c r="K132" i="43"/>
  <c r="R132" i="43"/>
  <c r="J132" i="43"/>
  <c r="Q132" i="43"/>
  <c r="P132" i="43"/>
  <c r="O132" i="43"/>
  <c r="J131" i="43" a="1"/>
  <c r="U130" i="43"/>
  <c r="G131" i="43"/>
  <c r="N131" i="43" l="1"/>
  <c r="M131" i="43"/>
  <c r="L131" i="43"/>
  <c r="S131" i="43"/>
  <c r="K131" i="43"/>
  <c r="R131" i="43"/>
  <c r="J131" i="43"/>
  <c r="P131" i="43"/>
  <c r="O131" i="43"/>
  <c r="T131" i="43"/>
  <c r="Q131" i="43"/>
  <c r="J130" i="43" a="1"/>
  <c r="U129" i="43"/>
  <c r="G130" i="43"/>
  <c r="O130" i="43" l="1"/>
  <c r="M130" i="43"/>
  <c r="T130" i="43"/>
  <c r="L130" i="43"/>
  <c r="S130" i="43"/>
  <c r="K130" i="43"/>
  <c r="R130" i="43"/>
  <c r="J130" i="43"/>
  <c r="Q130" i="43"/>
  <c r="N130" i="43"/>
  <c r="P130" i="43"/>
  <c r="J129" i="43" a="1"/>
  <c r="U128" i="43"/>
  <c r="G129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G128" i="43"/>
  <c r="O128" i="43" l="1"/>
  <c r="M128" i="43"/>
  <c r="T128" i="43"/>
  <c r="K128" i="43"/>
  <c r="J128" i="43"/>
  <c r="N128" i="43"/>
  <c r="L128" i="43"/>
  <c r="S128" i="43"/>
  <c r="R128" i="43"/>
  <c r="Q128" i="43"/>
  <c r="P128" i="43"/>
  <c r="U126" i="43"/>
  <c r="J127" i="43" a="1"/>
  <c r="G127" i="43"/>
  <c r="O127" i="43" l="1"/>
  <c r="M127" i="43"/>
  <c r="L127" i="43"/>
  <c r="S127" i="43"/>
  <c r="J127" i="43"/>
  <c r="Q127" i="43"/>
  <c r="P127" i="43"/>
  <c r="N127" i="43"/>
  <c r="T127" i="43"/>
  <c r="K127" i="43"/>
  <c r="R127" i="43"/>
  <c r="U125" i="43"/>
  <c r="J126" i="43" a="1"/>
  <c r="G126" i="43"/>
  <c r="O126" i="43" l="1"/>
  <c r="M126" i="43"/>
  <c r="T126" i="43"/>
  <c r="L126" i="43"/>
  <c r="S126" i="43"/>
  <c r="K126" i="43"/>
  <c r="J126" i="43"/>
  <c r="Q126" i="43"/>
  <c r="P126" i="43"/>
  <c r="N126" i="43"/>
  <c r="R126" i="43"/>
  <c r="U124" i="43"/>
  <c r="J125" i="43" a="1"/>
  <c r="G125" i="43"/>
  <c r="O125" i="43" l="1"/>
  <c r="N125" i="43"/>
  <c r="M125" i="43"/>
  <c r="T125" i="43"/>
  <c r="L125" i="43"/>
  <c r="S125" i="43"/>
  <c r="K125" i="43"/>
  <c r="R125" i="43"/>
  <c r="J125" i="43"/>
  <c r="Q125" i="43"/>
  <c r="P125" i="43"/>
  <c r="U123" i="43"/>
  <c r="J124" i="43" a="1"/>
  <c r="G124" i="43"/>
  <c r="O124" i="43" l="1"/>
  <c r="L124" i="43"/>
  <c r="S124" i="43"/>
  <c r="J124" i="43"/>
  <c r="Q124" i="43"/>
  <c r="P124" i="43"/>
  <c r="N124" i="43"/>
  <c r="M124" i="43"/>
  <c r="T124" i="43"/>
  <c r="K124" i="43"/>
  <c r="R124" i="43"/>
  <c r="U122" i="43"/>
  <c r="J123" i="43" a="1"/>
  <c r="G123" i="43"/>
  <c r="O123" i="43" l="1"/>
  <c r="T123" i="43"/>
  <c r="S123" i="43"/>
  <c r="N123" i="43"/>
  <c r="M123" i="43"/>
  <c r="L123" i="43"/>
  <c r="K123" i="43"/>
  <c r="R123" i="43"/>
  <c r="J123" i="43"/>
  <c r="Q123" i="43"/>
  <c r="P123" i="43"/>
  <c r="J122" i="43" a="1"/>
  <c r="U121" i="43"/>
  <c r="G122" i="43"/>
  <c r="T122" i="43" l="1"/>
  <c r="L122" i="43"/>
  <c r="S122" i="43"/>
  <c r="K122" i="43"/>
  <c r="R122" i="43"/>
  <c r="J122" i="43"/>
  <c r="Q122" i="43"/>
  <c r="P122" i="43"/>
  <c r="O122" i="43"/>
  <c r="N122" i="43"/>
  <c r="M122" i="43"/>
  <c r="U120" i="43"/>
  <c r="J121" i="43" a="1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J120" i="43" a="1"/>
  <c r="U119" i="43"/>
  <c r="G120" i="43"/>
  <c r="O120" i="43" l="1"/>
  <c r="N120" i="43"/>
  <c r="M120" i="43"/>
  <c r="L120" i="43"/>
  <c r="S120" i="43"/>
  <c r="K120" i="43"/>
  <c r="R120" i="43"/>
  <c r="J120" i="43"/>
  <c r="Q120" i="43"/>
  <c r="P120" i="43"/>
  <c r="T120" i="43"/>
  <c r="J119" i="43" a="1"/>
  <c r="U118" i="43"/>
  <c r="G119" i="43"/>
  <c r="O119" i="43" l="1"/>
  <c r="N119" i="43"/>
  <c r="M119" i="43"/>
  <c r="T119" i="43"/>
  <c r="L119" i="43"/>
  <c r="S119" i="43"/>
  <c r="K119" i="43"/>
  <c r="R119" i="43"/>
  <c r="J119" i="43"/>
  <c r="Q119" i="43"/>
  <c r="P119" i="43"/>
  <c r="U117" i="43"/>
  <c r="J118" i="43" a="1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J117" i="43" a="1"/>
  <c r="U116" i="43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J116" i="43" a="1"/>
  <c r="U115" i="43"/>
  <c r="G116" i="43"/>
  <c r="O116" i="43" l="1"/>
  <c r="T116" i="43"/>
  <c r="K116" i="43"/>
  <c r="J116" i="43"/>
  <c r="N116" i="43"/>
  <c r="M116" i="43"/>
  <c r="L116" i="43"/>
  <c r="S116" i="43"/>
  <c r="R116" i="43"/>
  <c r="Q116" i="43"/>
  <c r="P116" i="43"/>
  <c r="J115" i="43" a="1"/>
  <c r="U114" i="43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J114" i="43" a="1"/>
  <c r="U113" i="43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U112" i="43"/>
  <c r="J113" i="43" a="1"/>
  <c r="G113" i="43"/>
  <c r="O113" i="43" l="1"/>
  <c r="L113" i="43"/>
  <c r="S113" i="43"/>
  <c r="J113" i="43"/>
  <c r="Q113" i="43"/>
  <c r="N113" i="43"/>
  <c r="M113" i="43"/>
  <c r="T113" i="43"/>
  <c r="K113" i="43"/>
  <c r="R113" i="43"/>
  <c r="P113" i="43"/>
  <c r="U111" i="43"/>
  <c r="J112" i="43" a="1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J111" i="43" a="1"/>
  <c r="U110" i="43"/>
  <c r="G111" i="43"/>
  <c r="O111" i="43" l="1"/>
  <c r="M111" i="43"/>
  <c r="T111" i="43"/>
  <c r="L111" i="43"/>
  <c r="K111" i="43"/>
  <c r="R111" i="43"/>
  <c r="Q111" i="43"/>
  <c r="N111" i="43"/>
  <c r="S111" i="43"/>
  <c r="J111" i="43"/>
  <c r="P111" i="43"/>
  <c r="J110" i="43" a="1"/>
  <c r="U109" i="43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U108" i="43"/>
  <c r="J109" i="43" a="1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U107" i="43"/>
  <c r="J108" i="43" a="1"/>
  <c r="G108" i="43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J106" i="43" a="1"/>
  <c r="U105" i="43"/>
  <c r="G106" i="43"/>
  <c r="T106" i="43" l="1"/>
  <c r="L106" i="43"/>
  <c r="S106" i="43"/>
  <c r="K106" i="43"/>
  <c r="R106" i="43"/>
  <c r="J106" i="43"/>
  <c r="Q106" i="43"/>
  <c r="P106" i="43"/>
  <c r="O106" i="43"/>
  <c r="N106" i="43"/>
  <c r="M106" i="43"/>
  <c r="U104" i="43"/>
  <c r="J105" i="43" a="1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J104" i="43" a="1"/>
  <c r="U103" i="43"/>
  <c r="G104" i="43"/>
  <c r="O104" i="43" l="1"/>
  <c r="M104" i="43"/>
  <c r="N104" i="43"/>
  <c r="T104" i="43"/>
  <c r="L104" i="43"/>
  <c r="J104" i="43"/>
  <c r="S104" i="43"/>
  <c r="K104" i="43"/>
  <c r="R104" i="43"/>
  <c r="Q104" i="43"/>
  <c r="P104" i="43"/>
  <c r="U102" i="43"/>
  <c r="J103" i="43" a="1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J102" i="43" a="1"/>
  <c r="U101" i="43"/>
  <c r="G102" i="43"/>
  <c r="O102" i="43" l="1"/>
  <c r="L102" i="43"/>
  <c r="S102" i="43"/>
  <c r="K102" i="43"/>
  <c r="N102" i="43"/>
  <c r="M102" i="43"/>
  <c r="T102" i="43"/>
  <c r="R102" i="43"/>
  <c r="Q102" i="43"/>
  <c r="P102" i="43"/>
  <c r="J102" i="43"/>
  <c r="U100" i="43"/>
  <c r="J101" i="43" a="1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U99" i="43"/>
  <c r="J100" i="43" a="1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J99" i="43" a="1"/>
  <c r="U98" i="43"/>
  <c r="G99" i="43"/>
  <c r="O99" i="43" l="1"/>
  <c r="T99" i="43"/>
  <c r="K99" i="43"/>
  <c r="J99" i="43"/>
  <c r="Q99" i="43"/>
  <c r="N99" i="43"/>
  <c r="M99" i="43"/>
  <c r="L99" i="43"/>
  <c r="S99" i="43"/>
  <c r="R99" i="43"/>
  <c r="P99" i="43"/>
  <c r="U97" i="43"/>
  <c r="J98" i="43" a="1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U96" i="43"/>
  <c r="J97" i="43" a="1"/>
  <c r="G97" i="43"/>
  <c r="O97" i="43" l="1"/>
  <c r="M97" i="43"/>
  <c r="T97" i="43"/>
  <c r="L97" i="43"/>
  <c r="S97" i="43"/>
  <c r="K97" i="43"/>
  <c r="R97" i="43"/>
  <c r="J97" i="43"/>
  <c r="Q97" i="43"/>
  <c r="P97" i="43"/>
  <c r="N97" i="43"/>
  <c r="J96" i="43" a="1"/>
  <c r="U95" i="43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U94" i="43"/>
  <c r="J95" i="43" a="1"/>
  <c r="G95" i="43"/>
  <c r="O95" i="43" l="1"/>
  <c r="N95" i="43"/>
  <c r="M95" i="43"/>
  <c r="P95" i="43"/>
  <c r="T95" i="43"/>
  <c r="L95" i="43"/>
  <c r="S95" i="43"/>
  <c r="K95" i="43"/>
  <c r="R95" i="43"/>
  <c r="J95" i="43"/>
  <c r="Q95" i="43"/>
  <c r="U93" i="43"/>
  <c r="J94" i="43" a="1"/>
  <c r="G94" i="43"/>
  <c r="O94" i="43" l="1"/>
  <c r="N94" i="43"/>
  <c r="T94" i="43"/>
  <c r="L94" i="43"/>
  <c r="S94" i="43"/>
  <c r="K94" i="43"/>
  <c r="R94" i="43"/>
  <c r="J94" i="43"/>
  <c r="Q94" i="43"/>
  <c r="M94" i="43"/>
  <c r="P94" i="43"/>
  <c r="J93" i="43" a="1"/>
  <c r="U92" i="43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J92" i="43" a="1"/>
  <c r="U91" i="43"/>
  <c r="G92" i="43"/>
  <c r="O92" i="43" l="1"/>
  <c r="T92" i="43"/>
  <c r="S92" i="43"/>
  <c r="J92" i="43"/>
  <c r="N92" i="43"/>
  <c r="M92" i="43"/>
  <c r="L92" i="43"/>
  <c r="K92" i="43"/>
  <c r="R92" i="43"/>
  <c r="Q92" i="43"/>
  <c r="P92" i="43"/>
  <c r="J91" i="43" a="1"/>
  <c r="U90" i="43"/>
  <c r="G91" i="43"/>
  <c r="O91" i="43" l="1"/>
  <c r="M91" i="43"/>
  <c r="L91" i="43"/>
  <c r="S91" i="43"/>
  <c r="R91" i="43"/>
  <c r="Q91" i="43"/>
  <c r="N91" i="43"/>
  <c r="K91" i="43"/>
  <c r="J91" i="43"/>
  <c r="P91" i="43"/>
  <c r="T91" i="43"/>
  <c r="J90" i="43" a="1"/>
  <c r="U89" i="43"/>
  <c r="G90" i="43"/>
  <c r="O90" i="43" l="1"/>
  <c r="N90" i="43"/>
  <c r="M90" i="43"/>
  <c r="T90" i="43"/>
  <c r="L90" i="43"/>
  <c r="S90" i="43"/>
  <c r="K90" i="43"/>
  <c r="R90" i="43"/>
  <c r="J90" i="43"/>
  <c r="Q90" i="43"/>
  <c r="P90" i="43"/>
  <c r="U88" i="43"/>
  <c r="J89" i="43" a="1"/>
  <c r="G89" i="43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G88" i="43"/>
  <c r="T88" i="43" l="1"/>
  <c r="L88" i="43"/>
  <c r="S88" i="43"/>
  <c r="K88" i="43"/>
  <c r="R88" i="43"/>
  <c r="J88" i="43"/>
  <c r="Q88" i="43"/>
  <c r="P88" i="43"/>
  <c r="O88" i="43"/>
  <c r="N88" i="43"/>
  <c r="M88" i="43"/>
  <c r="J87" i="43" a="1"/>
  <c r="U86" i="43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U85" i="43"/>
  <c r="J86" i="43" a="1"/>
  <c r="G86" i="43"/>
  <c r="O86" i="43" l="1"/>
  <c r="K86" i="43"/>
  <c r="Q86" i="43"/>
  <c r="N86" i="43"/>
  <c r="M86" i="43"/>
  <c r="L86" i="43"/>
  <c r="S86" i="43"/>
  <c r="J86" i="43"/>
  <c r="T86" i="43"/>
  <c r="R86" i="43"/>
  <c r="P86" i="43"/>
  <c r="J85" i="43" a="1"/>
  <c r="U84" i="43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U83" i="43"/>
  <c r="J84" i="43" a="1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U82" i="43"/>
  <c r="J83" i="43" a="1"/>
  <c r="G83" i="43"/>
  <c r="O83" i="43" l="1"/>
  <c r="M83" i="43"/>
  <c r="K83" i="43"/>
  <c r="R83" i="43"/>
  <c r="N83" i="43"/>
  <c r="L83" i="43"/>
  <c r="S83" i="43"/>
  <c r="J83" i="43"/>
  <c r="Q83" i="43"/>
  <c r="P83" i="43"/>
  <c r="T83" i="43"/>
  <c r="J82" i="43" a="1"/>
  <c r="U81" i="43"/>
  <c r="G82" i="43"/>
  <c r="O82" i="43" l="1"/>
  <c r="N82" i="43"/>
  <c r="M82" i="43"/>
  <c r="T82" i="43"/>
  <c r="L82" i="43"/>
  <c r="S82" i="43"/>
  <c r="K82" i="43"/>
  <c r="R82" i="43"/>
  <c r="J82" i="43"/>
  <c r="Q82" i="43"/>
  <c r="P82" i="43"/>
  <c r="J81" i="43" a="1"/>
  <c r="U80" i="43"/>
  <c r="G81" i="43"/>
  <c r="O81" i="43" l="1"/>
  <c r="L81" i="43"/>
  <c r="S81" i="43"/>
  <c r="R81" i="43"/>
  <c r="Q81" i="43"/>
  <c r="P81" i="43"/>
  <c r="N81" i="43"/>
  <c r="M81" i="43"/>
  <c r="T81" i="43"/>
  <c r="K81" i="43"/>
  <c r="J81" i="43"/>
  <c r="J80" i="43" a="1"/>
  <c r="U79" i="43"/>
  <c r="G80" i="43"/>
  <c r="O80" i="43" l="1"/>
  <c r="K80" i="43"/>
  <c r="R80" i="43"/>
  <c r="P80" i="43"/>
  <c r="N80" i="43"/>
  <c r="M80" i="43"/>
  <c r="T80" i="43"/>
  <c r="L80" i="43"/>
  <c r="S80" i="43"/>
  <c r="J80" i="43"/>
  <c r="Q80" i="43"/>
  <c r="J79" i="43" a="1"/>
  <c r="U78" i="43"/>
  <c r="G79" i="43"/>
  <c r="O79" i="43" l="1"/>
  <c r="N79" i="43"/>
  <c r="M79" i="43"/>
  <c r="T79" i="43"/>
  <c r="L79" i="43"/>
  <c r="K79" i="43"/>
  <c r="R79" i="43"/>
  <c r="J79" i="43"/>
  <c r="Q79" i="43"/>
  <c r="P79" i="43"/>
  <c r="S79" i="43"/>
  <c r="U77" i="43"/>
  <c r="J78" i="43" a="1"/>
  <c r="G78" i="43"/>
  <c r="O78" i="43" l="1"/>
  <c r="N78" i="43"/>
  <c r="M78" i="43"/>
  <c r="T78" i="43"/>
  <c r="L78" i="43"/>
  <c r="S78" i="43"/>
  <c r="K78" i="43"/>
  <c r="R78" i="43"/>
  <c r="J78" i="43"/>
  <c r="Q78" i="43"/>
  <c r="P78" i="43"/>
  <c r="U76" i="43"/>
  <c r="J77" i="43" a="1"/>
  <c r="G77" i="43"/>
  <c r="O77" i="43" l="1"/>
  <c r="N77" i="43"/>
  <c r="M77" i="43"/>
  <c r="S77" i="43"/>
  <c r="K77" i="43"/>
  <c r="Q77" i="43"/>
  <c r="P77" i="43"/>
  <c r="T77" i="43"/>
  <c r="L77" i="43"/>
  <c r="R77" i="43"/>
  <c r="J77" i="43"/>
  <c r="U75" i="43"/>
  <c r="J76" i="43" a="1"/>
  <c r="G76" i="43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5" i="43"/>
  <c r="O75" i="43" l="1"/>
  <c r="N75" i="43"/>
  <c r="M75" i="43"/>
  <c r="R75" i="43"/>
  <c r="J75" i="43"/>
  <c r="Q75" i="43"/>
  <c r="T75" i="43"/>
  <c r="L75" i="43"/>
  <c r="S75" i="43"/>
  <c r="K75" i="43"/>
  <c r="P75" i="43"/>
  <c r="U73" i="43"/>
  <c r="J74" i="43" a="1"/>
  <c r="G74" i="43"/>
  <c r="N74" i="43" l="1"/>
  <c r="M74" i="43"/>
  <c r="T74" i="43"/>
  <c r="L74" i="43"/>
  <c r="P74" i="43"/>
  <c r="S74" i="43"/>
  <c r="K74" i="43"/>
  <c r="R74" i="43"/>
  <c r="J74" i="43"/>
  <c r="Q74" i="43"/>
  <c r="O74" i="43"/>
  <c r="J73" i="43" a="1"/>
  <c r="U72" i="43"/>
  <c r="G73" i="43"/>
  <c r="O73" i="43" l="1"/>
  <c r="M73" i="43"/>
  <c r="L73" i="43"/>
  <c r="S73" i="43"/>
  <c r="J73" i="43"/>
  <c r="Q73" i="43"/>
  <c r="P73" i="43"/>
  <c r="N73" i="43"/>
  <c r="T73" i="43"/>
  <c r="K73" i="43"/>
  <c r="R73" i="43"/>
  <c r="J72" i="43" a="1"/>
  <c r="U71" i="43"/>
  <c r="G72" i="43"/>
  <c r="O72" i="43" l="1"/>
  <c r="M72" i="43"/>
  <c r="T72" i="43"/>
  <c r="S72" i="43"/>
  <c r="J72" i="43"/>
  <c r="Q72" i="43"/>
  <c r="P72" i="43"/>
  <c r="N72" i="43"/>
  <c r="L72" i="43"/>
  <c r="K72" i="43"/>
  <c r="R72" i="43"/>
  <c r="U70" i="43"/>
  <c r="J71" i="43" a="1"/>
  <c r="G71" i="43"/>
  <c r="O71" i="43" l="1"/>
  <c r="M71" i="43"/>
  <c r="T71" i="43"/>
  <c r="S71" i="43"/>
  <c r="R71" i="43"/>
  <c r="Q71" i="43"/>
  <c r="P71" i="43"/>
  <c r="N71" i="43"/>
  <c r="L71" i="43"/>
  <c r="K71" i="43"/>
  <c r="J71" i="43"/>
  <c r="J70" i="43" a="1"/>
  <c r="U69" i="43"/>
  <c r="G70" i="43"/>
  <c r="O70" i="43" l="1"/>
  <c r="T70" i="43"/>
  <c r="Q70" i="43"/>
  <c r="N70" i="43"/>
  <c r="S70" i="43"/>
  <c r="M70" i="43"/>
  <c r="L70" i="43"/>
  <c r="K70" i="43"/>
  <c r="R70" i="43"/>
  <c r="J70" i="43"/>
  <c r="P70" i="43"/>
  <c r="U68" i="43"/>
  <c r="J69" i="43" a="1"/>
  <c r="G69" i="43"/>
  <c r="O69" i="43" l="1"/>
  <c r="L69" i="43"/>
  <c r="S69" i="43"/>
  <c r="R69" i="43"/>
  <c r="Q69" i="43"/>
  <c r="P69" i="43"/>
  <c r="N69" i="43"/>
  <c r="M69" i="43"/>
  <c r="T69" i="43"/>
  <c r="K69" i="43"/>
  <c r="J69" i="43"/>
  <c r="U67" i="43"/>
  <c r="J68" i="43" a="1"/>
  <c r="G68" i="43"/>
  <c r="O68" i="43" l="1"/>
  <c r="M68" i="43"/>
  <c r="T68" i="43"/>
  <c r="S68" i="43"/>
  <c r="J68" i="43"/>
  <c r="P68" i="43"/>
  <c r="N68" i="43"/>
  <c r="L68" i="43"/>
  <c r="R68" i="43"/>
  <c r="Q68" i="43"/>
  <c r="K68" i="43"/>
  <c r="U66" i="43"/>
  <c r="J67" i="43" a="1"/>
  <c r="G67" i="43"/>
  <c r="O67" i="43" l="1"/>
  <c r="N67" i="43"/>
  <c r="T67" i="43"/>
  <c r="L67" i="43"/>
  <c r="S67" i="43"/>
  <c r="K67" i="43"/>
  <c r="R67" i="43"/>
  <c r="J67" i="43"/>
  <c r="M67" i="43"/>
  <c r="Q67" i="43"/>
  <c r="P67" i="43"/>
  <c r="J66" i="43" a="1"/>
  <c r="U65" i="43"/>
  <c r="G66" i="43"/>
  <c r="O66" i="43" l="1"/>
  <c r="T66" i="43"/>
  <c r="K66" i="43"/>
  <c r="R66" i="43"/>
  <c r="J66" i="43"/>
  <c r="Q66" i="43"/>
  <c r="P66" i="43"/>
  <c r="N66" i="43"/>
  <c r="L66" i="43"/>
  <c r="S66" i="43"/>
  <c r="M66" i="43"/>
  <c r="J65" i="43" a="1"/>
  <c r="U64" i="43"/>
  <c r="G65" i="43"/>
  <c r="O65" i="43" l="1"/>
  <c r="M65" i="43"/>
  <c r="T65" i="43"/>
  <c r="J65" i="43"/>
  <c r="Q65" i="43"/>
  <c r="N65" i="43"/>
  <c r="L65" i="43"/>
  <c r="S65" i="43"/>
  <c r="K65" i="43"/>
  <c r="R65" i="43"/>
  <c r="P65" i="43"/>
  <c r="J64" i="43" a="1"/>
  <c r="U63" i="43"/>
  <c r="G64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G63" i="43"/>
  <c r="O63" i="43" l="1"/>
  <c r="N63" i="43"/>
  <c r="L63" i="43"/>
  <c r="J63" i="43"/>
  <c r="Q63" i="43"/>
  <c r="P63" i="43"/>
  <c r="M63" i="43"/>
  <c r="T63" i="43"/>
  <c r="S63" i="43"/>
  <c r="K63" i="43"/>
  <c r="R63" i="43"/>
  <c r="J62" i="43" a="1"/>
  <c r="U61" i="43"/>
  <c r="G62" i="43"/>
  <c r="N62" i="43" l="1"/>
  <c r="M62" i="43"/>
  <c r="T62" i="43"/>
  <c r="L62" i="43"/>
  <c r="S62" i="43"/>
  <c r="K62" i="43"/>
  <c r="R62" i="43"/>
  <c r="J62" i="43"/>
  <c r="Q62" i="43"/>
  <c r="P62" i="43"/>
  <c r="O62" i="43"/>
  <c r="J61" i="43" a="1"/>
  <c r="U60" i="43"/>
  <c r="G61" i="43"/>
  <c r="N61" i="43" l="1"/>
  <c r="T61" i="43"/>
  <c r="S61" i="43"/>
  <c r="R61" i="43"/>
  <c r="Q61" i="43"/>
  <c r="M61" i="43"/>
  <c r="L61" i="43"/>
  <c r="K61" i="43"/>
  <c r="J61" i="43"/>
  <c r="P61" i="43"/>
  <c r="O61" i="43"/>
  <c r="J60" i="43" a="1"/>
  <c r="U59" i="43"/>
  <c r="G60" i="43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G59" i="43"/>
  <c r="O59" i="43" l="1"/>
  <c r="L59" i="43"/>
  <c r="S59" i="43"/>
  <c r="J59" i="43"/>
  <c r="P59" i="43"/>
  <c r="N59" i="43"/>
  <c r="M59" i="43"/>
  <c r="T59" i="43"/>
  <c r="K59" i="43"/>
  <c r="R59" i="43"/>
  <c r="Q59" i="43"/>
  <c r="U57" i="43"/>
  <c r="J58" i="43" a="1"/>
  <c r="G58" i="43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G57" i="43"/>
  <c r="O57" i="43" l="1"/>
  <c r="T57" i="43"/>
  <c r="S57" i="43"/>
  <c r="K57" i="43"/>
  <c r="R57" i="43"/>
  <c r="J57" i="43"/>
  <c r="Q57" i="43"/>
  <c r="P57" i="43"/>
  <c r="N57" i="43"/>
  <c r="M57" i="43"/>
  <c r="L57" i="43"/>
  <c r="J56" i="43" a="1"/>
  <c r="U54" i="43"/>
  <c r="G56" i="43"/>
  <c r="O56" i="43" l="1"/>
  <c r="M56" i="43"/>
  <c r="L56" i="43"/>
  <c r="K56" i="43"/>
  <c r="Q56" i="43"/>
  <c r="N56" i="43"/>
  <c r="S56" i="43"/>
  <c r="R56" i="43"/>
  <c r="T56" i="43"/>
  <c r="J56" i="43"/>
  <c r="P56" i="43"/>
  <c r="J54" i="43" a="1"/>
  <c r="U53" i="43"/>
  <c r="G54" i="43"/>
  <c r="O54" i="43" l="1"/>
  <c r="L54" i="43"/>
  <c r="K54" i="43"/>
  <c r="R54" i="43"/>
  <c r="J54" i="43"/>
  <c r="N54" i="43"/>
  <c r="M54" i="43"/>
  <c r="T54" i="43"/>
  <c r="S54" i="43"/>
  <c r="Q54" i="43"/>
  <c r="P54" i="43"/>
  <c r="U52" i="43"/>
  <c r="J53" i="43" a="1"/>
  <c r="G53" i="43"/>
  <c r="O53" i="43" l="1"/>
  <c r="M53" i="43"/>
  <c r="T53" i="43"/>
  <c r="L53" i="43"/>
  <c r="S53" i="43"/>
  <c r="K53" i="43"/>
  <c r="R53" i="43"/>
  <c r="J53" i="43"/>
  <c r="N53" i="43"/>
  <c r="Q53" i="43"/>
  <c r="P53" i="43"/>
  <c r="U51" i="43"/>
  <c r="J52" i="43" a="1"/>
  <c r="G52" i="43"/>
  <c r="O52" i="43" l="1"/>
  <c r="M52" i="43"/>
  <c r="T52" i="43"/>
  <c r="S52" i="43"/>
  <c r="R52" i="43"/>
  <c r="P52" i="43"/>
  <c r="N52" i="43"/>
  <c r="L52" i="43"/>
  <c r="K52" i="43"/>
  <c r="J52" i="43"/>
  <c r="Q52" i="43"/>
  <c r="U50" i="43"/>
  <c r="J51" i="43" a="1"/>
  <c r="G51" i="43"/>
  <c r="O51" i="43" l="1"/>
  <c r="T51" i="43"/>
  <c r="S51" i="43"/>
  <c r="R51" i="43"/>
  <c r="P51" i="43"/>
  <c r="N51" i="43"/>
  <c r="L51" i="43"/>
  <c r="K51" i="43"/>
  <c r="Q51" i="43"/>
  <c r="M51" i="43"/>
  <c r="J51" i="43"/>
  <c r="J50" i="43" a="1"/>
  <c r="U49" i="43"/>
  <c r="G50" i="43"/>
  <c r="O50" i="43" l="1"/>
  <c r="M50" i="43"/>
  <c r="S50" i="43"/>
  <c r="J50" i="43"/>
  <c r="Q50" i="43"/>
  <c r="P50" i="43"/>
  <c r="N50" i="43"/>
  <c r="L50" i="43"/>
  <c r="K50" i="43"/>
  <c r="R50" i="43"/>
  <c r="T50" i="43"/>
  <c r="U48" i="43"/>
  <c r="J49" i="43" a="1"/>
  <c r="G49" i="43"/>
  <c r="O49" i="43" l="1"/>
  <c r="T49" i="43"/>
  <c r="S49" i="43"/>
  <c r="P49" i="43"/>
  <c r="N49" i="43"/>
  <c r="M49" i="43"/>
  <c r="L49" i="43"/>
  <c r="K49" i="43"/>
  <c r="R49" i="43"/>
  <c r="J49" i="43"/>
  <c r="Q49" i="43"/>
  <c r="J48" i="43" a="1"/>
  <c r="U47" i="43"/>
  <c r="G48" i="43"/>
  <c r="T48" i="43" l="1"/>
  <c r="L48" i="43"/>
  <c r="S48" i="43"/>
  <c r="K48" i="43"/>
  <c r="R48" i="43"/>
  <c r="J48" i="43"/>
  <c r="Q48" i="43"/>
  <c r="P48" i="43"/>
  <c r="O48" i="43"/>
  <c r="N48" i="43"/>
  <c r="M48" i="43"/>
  <c r="J47" i="43" a="1"/>
  <c r="U46" i="43"/>
  <c r="G47" i="43"/>
  <c r="O47" i="43" l="1"/>
  <c r="N47" i="43"/>
  <c r="M47" i="43"/>
  <c r="T47" i="43"/>
  <c r="L47" i="43"/>
  <c r="S47" i="43"/>
  <c r="K47" i="43"/>
  <c r="R47" i="43"/>
  <c r="J47" i="43"/>
  <c r="Q47" i="43"/>
  <c r="P47" i="43"/>
  <c r="J46" i="43" a="1"/>
  <c r="U45" i="43"/>
  <c r="G46" i="43"/>
  <c r="O46" i="43" l="1"/>
  <c r="M46" i="43"/>
  <c r="T46" i="43"/>
  <c r="S46" i="43"/>
  <c r="P46" i="43"/>
  <c r="N46" i="43"/>
  <c r="L46" i="43"/>
  <c r="K46" i="43"/>
  <c r="J46" i="43"/>
  <c r="Q46" i="43"/>
  <c r="R46" i="43"/>
  <c r="J45" i="43" a="1"/>
  <c r="U44" i="43"/>
  <c r="G45" i="43"/>
  <c r="O45" i="43" l="1"/>
  <c r="N45" i="43"/>
  <c r="M45" i="43"/>
  <c r="T45" i="43"/>
  <c r="L45" i="43"/>
  <c r="S45" i="43"/>
  <c r="K45" i="43"/>
  <c r="R45" i="43"/>
  <c r="J45" i="43"/>
  <c r="Q45" i="43"/>
  <c r="P45" i="43"/>
  <c r="U43" i="43"/>
  <c r="J44" i="43" a="1"/>
  <c r="G44" i="43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G43" i="43"/>
  <c r="O43" i="43" l="1"/>
  <c r="M43" i="43"/>
  <c r="L43" i="43"/>
  <c r="S43" i="43"/>
  <c r="K43" i="43"/>
  <c r="J43" i="43"/>
  <c r="Q43" i="43"/>
  <c r="N43" i="43"/>
  <c r="T43" i="43"/>
  <c r="R43" i="43"/>
  <c r="P43" i="43"/>
  <c r="J42" i="43" a="1"/>
  <c r="U41" i="43"/>
  <c r="G42" i="43"/>
  <c r="T42" i="43" l="1"/>
  <c r="L42" i="43"/>
  <c r="S42" i="43"/>
  <c r="K42" i="43"/>
  <c r="R42" i="43"/>
  <c r="J42" i="43"/>
  <c r="Q42" i="43"/>
  <c r="P42" i="43"/>
  <c r="O42" i="43"/>
  <c r="N42" i="43"/>
  <c r="M42" i="43"/>
  <c r="J41" i="43" a="1"/>
  <c r="U40" i="43"/>
  <c r="G41" i="43"/>
  <c r="O41" i="43" l="1"/>
  <c r="L41" i="43"/>
  <c r="S41" i="43"/>
  <c r="R41" i="43"/>
  <c r="P41" i="43"/>
  <c r="N41" i="43"/>
  <c r="M41" i="43"/>
  <c r="T41" i="43"/>
  <c r="J41" i="43"/>
  <c r="Q41" i="43"/>
  <c r="K41" i="43"/>
  <c r="U39" i="43"/>
  <c r="J40" i="43" a="1"/>
  <c r="G40" i="43"/>
  <c r="O40" i="43" l="1"/>
  <c r="L40" i="43"/>
  <c r="K40" i="43"/>
  <c r="J40" i="43"/>
  <c r="Q40" i="43"/>
  <c r="P40" i="43"/>
  <c r="N40" i="43"/>
  <c r="M40" i="43"/>
  <c r="T40" i="43"/>
  <c r="S40" i="43"/>
  <c r="R40" i="43"/>
  <c r="J39" i="43" a="1"/>
  <c r="U38" i="43"/>
  <c r="G39" i="43"/>
  <c r="O39" i="43" l="1"/>
  <c r="N39" i="43"/>
  <c r="M39" i="43"/>
  <c r="T39" i="43"/>
  <c r="L39" i="43"/>
  <c r="S39" i="43"/>
  <c r="K39" i="43"/>
  <c r="J39" i="43"/>
  <c r="Q39" i="43"/>
  <c r="P39" i="43"/>
  <c r="R39" i="43"/>
  <c r="U37" i="43"/>
  <c r="J38" i="43" a="1"/>
  <c r="G38" i="43"/>
  <c r="O38" i="43" l="1"/>
  <c r="N38" i="43"/>
  <c r="M38" i="43"/>
  <c r="T38" i="43"/>
  <c r="L38" i="43"/>
  <c r="S38" i="43"/>
  <c r="K38" i="43"/>
  <c r="R38" i="43"/>
  <c r="J38" i="43"/>
  <c r="Q38" i="43"/>
  <c r="P38" i="43"/>
  <c r="U36" i="43"/>
  <c r="J37" i="43" a="1"/>
  <c r="G37" i="43"/>
  <c r="O37" i="43" l="1"/>
  <c r="N37" i="43"/>
  <c r="M37" i="43"/>
  <c r="T37" i="43"/>
  <c r="S37" i="43"/>
  <c r="K37" i="43"/>
  <c r="R37" i="43"/>
  <c r="J37" i="43"/>
  <c r="Q37" i="43"/>
  <c r="P37" i="43"/>
  <c r="L37" i="43"/>
  <c r="J36" i="43" a="1"/>
  <c r="U35" i="43"/>
  <c r="G36" i="43"/>
  <c r="O36" i="43" l="1"/>
  <c r="N36" i="43"/>
  <c r="M36" i="43"/>
  <c r="T36" i="43"/>
  <c r="L36" i="43"/>
  <c r="S36" i="43"/>
  <c r="R36" i="43"/>
  <c r="J36" i="43"/>
  <c r="Q36" i="43"/>
  <c r="P36" i="43"/>
  <c r="K36" i="43"/>
  <c r="J35" i="43" a="1"/>
  <c r="U34" i="43"/>
  <c r="G35" i="43"/>
  <c r="O35" i="43" l="1"/>
  <c r="M35" i="43"/>
  <c r="L35" i="43"/>
  <c r="S35" i="43"/>
  <c r="R35" i="43"/>
  <c r="N35" i="43"/>
  <c r="T35" i="43"/>
  <c r="K35" i="43"/>
  <c r="J35" i="43"/>
  <c r="P35" i="43"/>
  <c r="Q35" i="43"/>
  <c r="U33" i="43"/>
  <c r="J34" i="43" a="1"/>
  <c r="G34" i="43"/>
  <c r="O34" i="43" l="1"/>
  <c r="M34" i="43"/>
  <c r="T34" i="43"/>
  <c r="L34" i="43"/>
  <c r="S34" i="43"/>
  <c r="K34" i="43"/>
  <c r="R34" i="43"/>
  <c r="J34" i="43"/>
  <c r="Q34" i="43"/>
  <c r="N34" i="43"/>
  <c r="P34" i="43"/>
  <c r="J33" i="43" a="1"/>
  <c r="U32" i="43"/>
  <c r="G33" i="43"/>
  <c r="O33" i="43" l="1"/>
  <c r="T33" i="43"/>
  <c r="L33" i="43"/>
  <c r="S33" i="43"/>
  <c r="K33" i="43"/>
  <c r="Q33" i="43"/>
  <c r="N33" i="43"/>
  <c r="J33" i="43"/>
  <c r="M33" i="43"/>
  <c r="R33" i="43"/>
  <c r="P33" i="43"/>
  <c r="J32" i="43" a="1"/>
  <c r="U31" i="43"/>
  <c r="G32" i="43"/>
  <c r="O32" i="43" l="1"/>
  <c r="N32" i="43"/>
  <c r="M32" i="43"/>
  <c r="T32" i="43"/>
  <c r="L32" i="43"/>
  <c r="S32" i="43"/>
  <c r="K32" i="43"/>
  <c r="R32" i="43"/>
  <c r="J32" i="43"/>
  <c r="Q32" i="43"/>
  <c r="P32" i="43"/>
  <c r="J31" i="43" a="1"/>
  <c r="U30" i="43"/>
  <c r="G31" i="43"/>
  <c r="N31" i="43" l="1"/>
  <c r="M31" i="43"/>
  <c r="T31" i="43"/>
  <c r="L31" i="43"/>
  <c r="S31" i="43"/>
  <c r="K31" i="43"/>
  <c r="R31" i="43"/>
  <c r="J31" i="43"/>
  <c r="Q31" i="43"/>
  <c r="P31" i="43"/>
  <c r="O31" i="43"/>
  <c r="U29" i="43"/>
  <c r="J30" i="43" a="1"/>
  <c r="G30" i="43"/>
  <c r="O30" i="43" l="1"/>
  <c r="N30" i="43"/>
  <c r="M30" i="43"/>
  <c r="T30" i="43"/>
  <c r="L30" i="43"/>
  <c r="S30" i="43"/>
  <c r="K30" i="43"/>
  <c r="R30" i="43"/>
  <c r="J30" i="43"/>
  <c r="P30" i="43"/>
  <c r="Q30" i="43"/>
  <c r="U28" i="43"/>
  <c r="J29" i="43" a="1"/>
  <c r="G29" i="43"/>
  <c r="O29" i="43" l="1"/>
  <c r="N29" i="43"/>
  <c r="M29" i="43"/>
  <c r="K29" i="43"/>
  <c r="R29" i="43"/>
  <c r="J29" i="43"/>
  <c r="T29" i="43"/>
  <c r="L29" i="43"/>
  <c r="S29" i="43"/>
  <c r="Q29" i="43"/>
  <c r="P29" i="43"/>
  <c r="U27" i="43"/>
  <c r="J28" i="43" a="1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J27" i="43" a="1"/>
  <c r="U26" i="43"/>
  <c r="G27" i="43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G26" i="43"/>
  <c r="O26" i="43" l="1"/>
  <c r="T26" i="43"/>
  <c r="P26" i="43"/>
  <c r="N26" i="43"/>
  <c r="L26" i="43"/>
  <c r="K26" i="43"/>
  <c r="R26" i="43"/>
  <c r="J26" i="43"/>
  <c r="Q26" i="43"/>
  <c r="M26" i="43"/>
  <c r="S26" i="43"/>
  <c r="J25" i="43" a="1"/>
  <c r="U24" i="43"/>
  <c r="G25" i="43"/>
  <c r="O25" i="43" l="1"/>
  <c r="N25" i="43"/>
  <c r="M25" i="43"/>
  <c r="T25" i="43"/>
  <c r="L25" i="43"/>
  <c r="S25" i="43"/>
  <c r="K25" i="43"/>
  <c r="R25" i="43"/>
  <c r="J25" i="43"/>
  <c r="Q25" i="43"/>
  <c r="P25" i="43"/>
  <c r="U23" i="43"/>
  <c r="J24" i="43" a="1"/>
  <c r="G24" i="43"/>
  <c r="O24" i="43" l="1"/>
  <c r="T24" i="43"/>
  <c r="K24" i="43"/>
  <c r="J24" i="43"/>
  <c r="N24" i="43"/>
  <c r="L24" i="43"/>
  <c r="S24" i="43"/>
  <c r="R24" i="43"/>
  <c r="P24" i="43"/>
  <c r="M24" i="43"/>
  <c r="Q24" i="43"/>
  <c r="U22" i="43"/>
  <c r="J23" i="43" a="1"/>
  <c r="G23" i="43"/>
  <c r="O23" i="43" l="1"/>
  <c r="T23" i="43"/>
  <c r="R23" i="43"/>
  <c r="Q23" i="43"/>
  <c r="N23" i="43"/>
  <c r="L23" i="43"/>
  <c r="K23" i="43"/>
  <c r="M23" i="43"/>
  <c r="S23" i="43"/>
  <c r="J23" i="43"/>
  <c r="P23" i="43"/>
  <c r="U21" i="43"/>
  <c r="J22" i="43" a="1"/>
  <c r="G22" i="43"/>
  <c r="O22" i="43" l="1"/>
  <c r="N22" i="43"/>
  <c r="M22" i="43"/>
  <c r="T22" i="43"/>
  <c r="L22" i="43"/>
  <c r="S22" i="43"/>
  <c r="K22" i="43"/>
  <c r="R22" i="43"/>
  <c r="J22" i="43"/>
  <c r="Q22" i="43"/>
  <c r="P22" i="43"/>
  <c r="J21" i="43" a="1"/>
  <c r="U20" i="43"/>
  <c r="G21" i="43"/>
  <c r="O21" i="43" l="1"/>
  <c r="N21" i="43"/>
  <c r="M21" i="43"/>
  <c r="T21" i="43"/>
  <c r="L21" i="43"/>
  <c r="K21" i="43"/>
  <c r="R21" i="43"/>
  <c r="J21" i="43"/>
  <c r="Q21" i="43"/>
  <c r="P21" i="43"/>
  <c r="S21" i="43"/>
  <c r="U19" i="43"/>
  <c r="J20" i="43" a="1"/>
  <c r="G20" i="43"/>
  <c r="O20" i="43" l="1"/>
  <c r="M20" i="43"/>
  <c r="T20" i="43"/>
  <c r="L20" i="43"/>
  <c r="S20" i="43"/>
  <c r="K20" i="43"/>
  <c r="R20" i="43"/>
  <c r="J20" i="43"/>
  <c r="Q20" i="43"/>
  <c r="N20" i="43"/>
  <c r="P20" i="43"/>
  <c r="U18" i="43"/>
  <c r="J19" i="43" a="1"/>
  <c r="G19" i="43"/>
  <c r="O19" i="43" l="1"/>
  <c r="M19" i="43"/>
  <c r="K19" i="43"/>
  <c r="R19" i="43"/>
  <c r="N19" i="43"/>
  <c r="T19" i="43"/>
  <c r="S19" i="43"/>
  <c r="J19" i="43"/>
  <c r="Q19" i="43"/>
  <c r="P19" i="43"/>
  <c r="L19" i="43"/>
  <c r="J18" i="43" a="1"/>
  <c r="U17" i="43"/>
  <c r="G18" i="43"/>
  <c r="N18" i="43" l="1"/>
  <c r="M18" i="43"/>
  <c r="T18" i="43"/>
  <c r="L18" i="43"/>
  <c r="S18" i="43"/>
  <c r="R18" i="43"/>
  <c r="J18" i="43"/>
  <c r="Q18" i="43"/>
  <c r="O18" i="43"/>
  <c r="K18" i="43"/>
  <c r="P18" i="43"/>
  <c r="U16" i="43"/>
  <c r="J17" i="43" a="1"/>
  <c r="G17" i="43"/>
  <c r="O17" i="43" l="1"/>
  <c r="M17" i="43"/>
  <c r="T17" i="43"/>
  <c r="L17" i="43"/>
  <c r="S17" i="43"/>
  <c r="K17" i="43"/>
  <c r="R17" i="43"/>
  <c r="Q17" i="43"/>
  <c r="P17" i="43"/>
  <c r="N17" i="43"/>
  <c r="J17" i="43"/>
  <c r="U15" i="43"/>
  <c r="J16" i="43" a="1"/>
  <c r="G16" i="43"/>
  <c r="O16" i="43" l="1"/>
  <c r="N16" i="43"/>
  <c r="M16" i="43"/>
  <c r="S16" i="43"/>
  <c r="J16" i="43"/>
  <c r="T16" i="43"/>
  <c r="L16" i="43"/>
  <c r="K16" i="43"/>
  <c r="R16" i="43"/>
  <c r="Q16" i="43"/>
  <c r="P16" i="43"/>
  <c r="U14" i="43"/>
  <c r="J15" i="43" a="1"/>
  <c r="G15" i="43"/>
  <c r="O15" i="43" l="1"/>
  <c r="T15" i="43"/>
  <c r="K15" i="43"/>
  <c r="R15" i="43"/>
  <c r="N15" i="43"/>
  <c r="M15" i="43"/>
  <c r="L15" i="43"/>
  <c r="S15" i="43"/>
  <c r="J15" i="43"/>
  <c r="Q15" i="43"/>
  <c r="P15" i="43"/>
  <c r="U13" i="43"/>
  <c r="J14" i="43" a="1"/>
  <c r="G14" i="43"/>
  <c r="O14" i="43" l="1"/>
  <c r="L14" i="43"/>
  <c r="K14" i="43"/>
  <c r="J14" i="43"/>
  <c r="Q14" i="43"/>
  <c r="P14" i="43"/>
  <c r="N14" i="43"/>
  <c r="S14" i="43"/>
  <c r="M14" i="43"/>
  <c r="R14" i="43"/>
  <c r="T14" i="43"/>
  <c r="J13" i="43" a="1"/>
  <c r="U12" i="43"/>
  <c r="G13" i="43"/>
  <c r="N13" i="43" l="1"/>
  <c r="S13" i="43"/>
  <c r="J13" i="43"/>
  <c r="P13" i="43"/>
  <c r="O13" i="43"/>
  <c r="M13" i="43"/>
  <c r="R13" i="43"/>
  <c r="T13" i="43"/>
  <c r="L13" i="43"/>
  <c r="K13" i="43"/>
  <c r="Q13" i="43"/>
  <c r="J12" i="43" a="1"/>
  <c r="U11" i="43"/>
  <c r="G12" i="43"/>
  <c r="N12" i="43" l="1"/>
  <c r="M12" i="43"/>
  <c r="O12" i="43"/>
  <c r="T12" i="43"/>
  <c r="L12" i="43"/>
  <c r="K12" i="43"/>
  <c r="R12" i="43"/>
  <c r="J12" i="43"/>
  <c r="Q12" i="43"/>
  <c r="P12" i="43"/>
  <c r="S12" i="43"/>
  <c r="J11" i="43" a="1"/>
  <c r="U10" i="43"/>
  <c r="G11" i="43"/>
  <c r="M11" i="43" l="1"/>
  <c r="L11" i="43"/>
  <c r="S11" i="43"/>
  <c r="K11" i="43"/>
  <c r="R11" i="43"/>
  <c r="J11" i="43"/>
  <c r="Q11" i="43"/>
  <c r="P11" i="43"/>
  <c r="O11" i="43"/>
  <c r="N11" i="43"/>
  <c r="T11" i="43"/>
  <c r="J10" i="43" a="1"/>
  <c r="U9" i="43"/>
  <c r="G10" i="43"/>
  <c r="T10" i="43" l="1"/>
  <c r="L10" i="43"/>
  <c r="R10" i="43"/>
  <c r="O10" i="43"/>
  <c r="N10" i="43"/>
  <c r="S10" i="43"/>
  <c r="K10" i="43"/>
  <c r="J10" i="43"/>
  <c r="Q10" i="43"/>
  <c r="P10" i="43"/>
  <c r="M10" i="43"/>
  <c r="U8" i="43"/>
  <c r="J9" i="43" a="1"/>
  <c r="G9" i="43"/>
  <c r="N9" i="43" l="1"/>
  <c r="T9" i="43"/>
  <c r="L9" i="43"/>
  <c r="R9" i="43"/>
  <c r="P9" i="43"/>
  <c r="M9" i="43"/>
  <c r="S9" i="43"/>
  <c r="K9" i="43"/>
  <c r="J9" i="43"/>
  <c r="Q9" i="43"/>
  <c r="O9" i="43"/>
  <c r="J8" i="43" a="1"/>
  <c r="U7" i="43"/>
  <c r="G8" i="43"/>
  <c r="O8" i="43" l="1"/>
  <c r="N8" i="43"/>
  <c r="M8" i="43"/>
  <c r="L8" i="43"/>
  <c r="S8" i="43"/>
  <c r="K8" i="43"/>
  <c r="R8" i="43"/>
  <c r="J8" i="43"/>
  <c r="Q8" i="43"/>
  <c r="P8" i="43"/>
  <c r="T8" i="43"/>
  <c r="J7" i="43" a="1"/>
  <c r="U6" i="43"/>
  <c r="G7" i="43"/>
  <c r="O7" i="43" l="1"/>
  <c r="M7" i="43"/>
  <c r="T7" i="43"/>
  <c r="L7" i="43"/>
  <c r="K7" i="43"/>
  <c r="J7" i="43"/>
  <c r="Q7" i="43"/>
  <c r="N7" i="43"/>
  <c r="S7" i="43"/>
  <c r="R7" i="43"/>
  <c r="P7" i="43"/>
  <c r="U5" i="43"/>
  <c r="J6" i="43" a="1"/>
  <c r="G6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G5" i="43"/>
  <c r="S5" i="43" l="1"/>
  <c r="K5" i="43"/>
  <c r="R5" i="43"/>
  <c r="J5" i="43"/>
  <c r="Q5" i="43"/>
  <c r="P5" i="43"/>
  <c r="O5" i="43"/>
  <c r="N5" i="43"/>
  <c r="M5" i="43"/>
  <c r="T5" i="43"/>
  <c r="L5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N310" i="1"/>
  <c r="AU309" i="1" l="1"/>
  <c r="AN309" i="1"/>
  <c r="U310" i="1" l="1"/>
  <c r="AO310" i="1" s="1"/>
  <c r="W310" i="1" l="1"/>
  <c r="AL310" i="1" s="1"/>
  <c r="AM310" i="1" l="1"/>
  <c r="U309" i="1"/>
  <c r="AO309" i="1" s="1"/>
  <c r="W309" i="1" l="1"/>
  <c r="AL309" i="1" s="1"/>
  <c r="AU308" i="1"/>
  <c r="AN308" i="1"/>
  <c r="AM309" i="1" l="1"/>
  <c r="U308" i="1" l="1"/>
  <c r="AO308" i="1" s="1"/>
  <c r="W308" i="1" l="1"/>
  <c r="AL308" i="1" s="1"/>
  <c r="AU307" i="1"/>
  <c r="AN307" i="1"/>
  <c r="AM308" i="1" l="1"/>
  <c r="U307" i="1" l="1"/>
  <c r="AO307" i="1" s="1"/>
  <c r="W307" i="1" l="1"/>
  <c r="AL307" i="1" s="1"/>
  <c r="AU306" i="1"/>
  <c r="AN306" i="1"/>
  <c r="AM307" i="1" l="1"/>
  <c r="U306" i="1" l="1"/>
  <c r="AO306" i="1" s="1"/>
  <c r="W306" i="1" l="1"/>
  <c r="AL306" i="1" s="1"/>
  <c r="AU305" i="1"/>
  <c r="AN305" i="1"/>
  <c r="AM306" i="1" l="1"/>
  <c r="U305" i="1" l="1"/>
  <c r="AO305" i="1" s="1"/>
  <c r="W305" i="1" l="1"/>
  <c r="AL305" i="1" s="1"/>
  <c r="AU304" i="1"/>
  <c r="AN304" i="1"/>
  <c r="AM305" i="1" l="1"/>
  <c r="U304" i="1" l="1"/>
  <c r="AO304" i="1" s="1"/>
  <c r="W304" i="1" l="1"/>
  <c r="AL304" i="1" s="1"/>
  <c r="AU303" i="1"/>
  <c r="AN303" i="1"/>
  <c r="AM304" i="1" l="1"/>
  <c r="U303" i="1" l="1"/>
  <c r="AO303" i="1" s="1"/>
  <c r="W303" i="1" l="1"/>
  <c r="AL303" i="1" s="1"/>
  <c r="AU302" i="1"/>
  <c r="AN302" i="1"/>
  <c r="AM303" i="1" l="1"/>
  <c r="U302" i="1" l="1"/>
  <c r="AO302" i="1" s="1"/>
  <c r="W302" i="1" l="1"/>
  <c r="AL302" i="1" s="1"/>
  <c r="AU301" i="1"/>
  <c r="AN301" i="1"/>
  <c r="AM302" i="1" l="1"/>
  <c r="U301" i="1" l="1"/>
  <c r="AO301" i="1" s="1"/>
  <c r="W301" i="1" l="1"/>
  <c r="AL301" i="1" s="1"/>
  <c r="AU300" i="1"/>
  <c r="AN300" i="1"/>
  <c r="AM301" i="1" l="1"/>
  <c r="U300" i="1" l="1"/>
  <c r="AO300" i="1" s="1"/>
  <c r="W300" i="1" l="1"/>
  <c r="AL300" i="1" s="1"/>
  <c r="AU299" i="1"/>
  <c r="AN299" i="1"/>
  <c r="AM300" i="1" l="1"/>
  <c r="U299" i="1" l="1"/>
  <c r="AO299" i="1" s="1"/>
  <c r="W299" i="1" l="1"/>
  <c r="AL299" i="1" s="1"/>
  <c r="AU298" i="1"/>
  <c r="AN298" i="1"/>
  <c r="AM299" i="1" l="1"/>
  <c r="U298" i="1" l="1"/>
  <c r="AO298" i="1" s="1"/>
  <c r="W298" i="1" l="1"/>
  <c r="AL298" i="1" s="1"/>
  <c r="AU297" i="1"/>
  <c r="AN297" i="1"/>
  <c r="AM298" i="1" l="1"/>
  <c r="U297" i="1" l="1"/>
  <c r="AO297" i="1" s="1"/>
  <c r="W297" i="1" l="1"/>
  <c r="AL297" i="1" s="1"/>
  <c r="AU296" i="1"/>
  <c r="AN296" i="1"/>
  <c r="AM297" i="1" l="1"/>
  <c r="U296" i="1" l="1"/>
  <c r="AO296" i="1" s="1"/>
  <c r="W296" i="1" l="1"/>
  <c r="AL296" i="1" s="1"/>
  <c r="AU295" i="1"/>
  <c r="AN295" i="1"/>
  <c r="AM296" i="1" l="1"/>
  <c r="U295" i="1" l="1"/>
  <c r="AO295" i="1" s="1"/>
  <c r="W295" i="1" l="1"/>
  <c r="AL295" i="1" s="1"/>
  <c r="AU294" i="1"/>
  <c r="AN294" i="1"/>
  <c r="AM295" i="1" l="1"/>
  <c r="U294" i="1" l="1"/>
  <c r="AO294" i="1" s="1"/>
  <c r="W294" i="1" l="1"/>
  <c r="AL294" i="1" s="1"/>
  <c r="AU293" i="1"/>
  <c r="AN293" i="1"/>
  <c r="AM294" i="1" l="1"/>
  <c r="U293" i="1" l="1"/>
  <c r="AO293" i="1" s="1"/>
  <c r="W293" i="1" l="1"/>
  <c r="AL293" i="1" s="1"/>
  <c r="AU292" i="1"/>
  <c r="AN292" i="1"/>
  <c r="AM293" i="1" l="1"/>
  <c r="U292" i="1" l="1"/>
  <c r="AO292" i="1" s="1"/>
  <c r="W292" i="1" l="1"/>
  <c r="AL292" i="1" s="1"/>
  <c r="AU291" i="1"/>
  <c r="AN291" i="1"/>
  <c r="AM292" i="1" l="1"/>
  <c r="U291" i="1" l="1"/>
  <c r="AO291" i="1" s="1"/>
  <c r="W291" i="1" l="1"/>
  <c r="AL291" i="1" s="1"/>
  <c r="AU290" i="1"/>
  <c r="AN290" i="1"/>
  <c r="AM291" i="1" l="1"/>
  <c r="U290" i="1" l="1"/>
  <c r="AO290" i="1" s="1"/>
  <c r="W290" i="1" l="1"/>
  <c r="AL290" i="1" s="1"/>
  <c r="AU289" i="1"/>
  <c r="AN289" i="1"/>
  <c r="AM290" i="1" l="1"/>
  <c r="U289" i="1" l="1"/>
  <c r="AO289" i="1" s="1"/>
  <c r="W289" i="1" l="1"/>
  <c r="AL289" i="1" s="1"/>
  <c r="AU288" i="1"/>
  <c r="AN288" i="1"/>
  <c r="AM289" i="1" l="1"/>
  <c r="U288" i="1" l="1"/>
  <c r="AO288" i="1" s="1"/>
  <c r="W288" i="1" l="1"/>
  <c r="AL288" i="1" s="1"/>
  <c r="AU287" i="1"/>
  <c r="AN287" i="1"/>
  <c r="AM288" i="1" l="1"/>
  <c r="U287" i="1" l="1"/>
  <c r="AO287" i="1" s="1"/>
  <c r="W287" i="1" l="1"/>
  <c r="AL287" i="1" s="1"/>
  <c r="AU286" i="1"/>
  <c r="AN286" i="1"/>
  <c r="AM287" i="1" l="1"/>
  <c r="U286" i="1" l="1"/>
  <c r="AO286" i="1" s="1"/>
  <c r="W286" i="1" l="1"/>
  <c r="AL286" i="1" s="1"/>
  <c r="AU285" i="1"/>
  <c r="AN285" i="1"/>
  <c r="AM286" i="1" l="1"/>
  <c r="U285" i="1" l="1"/>
  <c r="AO285" i="1" s="1"/>
  <c r="W285" i="1" l="1"/>
  <c r="AL285" i="1" s="1"/>
  <c r="AU284" i="1"/>
  <c r="AN284" i="1"/>
  <c r="AM285" i="1" l="1"/>
  <c r="U284" i="1" l="1"/>
  <c r="AO284" i="1" s="1"/>
  <c r="W284" i="1" l="1"/>
  <c r="AL284" i="1" s="1"/>
  <c r="AU283" i="1"/>
  <c r="AN283" i="1"/>
  <c r="AM284" i="1" l="1"/>
  <c r="U283" i="1" l="1"/>
  <c r="AO283" i="1" s="1"/>
  <c r="W283" i="1" l="1"/>
  <c r="AL283" i="1" s="1"/>
  <c r="AU282" i="1"/>
  <c r="AN282" i="1"/>
  <c r="AM283" i="1" l="1"/>
  <c r="U282" i="1" l="1"/>
  <c r="AO282" i="1" s="1"/>
  <c r="W282" i="1" l="1"/>
  <c r="AL282" i="1" s="1"/>
  <c r="AU281" i="1"/>
  <c r="AN281" i="1"/>
  <c r="AM282" i="1" l="1"/>
  <c r="U281" i="1" l="1"/>
  <c r="AO281" i="1" s="1"/>
  <c r="W281" i="1" l="1"/>
  <c r="AL281" i="1" s="1"/>
  <c r="AU280" i="1"/>
  <c r="AN280" i="1"/>
  <c r="AM281" i="1" l="1"/>
  <c r="U280" i="1" l="1"/>
  <c r="AO280" i="1" s="1"/>
  <c r="W280" i="1" l="1"/>
  <c r="AL280" i="1" s="1"/>
  <c r="AU279" i="1"/>
  <c r="AN279" i="1"/>
  <c r="AM280" i="1" l="1"/>
  <c r="U279" i="1" l="1"/>
  <c r="AO279" i="1" s="1"/>
  <c r="W279" i="1" l="1"/>
  <c r="AL279" i="1" s="1"/>
  <c r="AU278" i="1"/>
  <c r="AN278" i="1"/>
  <c r="AM279" i="1" l="1"/>
  <c r="U278" i="1" l="1"/>
  <c r="AO278" i="1" s="1"/>
  <c r="W278" i="1" l="1"/>
  <c r="AL278" i="1" s="1"/>
  <c r="AU277" i="1"/>
  <c r="AN277" i="1"/>
  <c r="AM278" i="1" l="1"/>
  <c r="U277" i="1" l="1"/>
  <c r="AO277" i="1" s="1"/>
  <c r="W277" i="1" l="1"/>
  <c r="AL277" i="1" s="1"/>
  <c r="AU276" i="1"/>
  <c r="AN276" i="1"/>
  <c r="AM277" i="1" l="1"/>
  <c r="U276" i="1" l="1"/>
  <c r="AO276" i="1" s="1"/>
  <c r="W276" i="1" l="1"/>
  <c r="AL276" i="1" s="1"/>
  <c r="AU275" i="1"/>
  <c r="AN275" i="1"/>
  <c r="AM276" i="1" l="1"/>
  <c r="U275" i="1" l="1"/>
  <c r="AO275" i="1" s="1"/>
  <c r="W275" i="1" l="1"/>
  <c r="AL275" i="1" s="1"/>
  <c r="AU274" i="1"/>
  <c r="AN274" i="1"/>
  <c r="AM275" i="1" l="1"/>
  <c r="U274" i="1" l="1"/>
  <c r="AO274" i="1" s="1"/>
  <c r="W274" i="1" l="1"/>
  <c r="AL274" i="1" s="1"/>
  <c r="AU273" i="1"/>
  <c r="AN273" i="1"/>
  <c r="AM274" i="1" l="1"/>
  <c r="U273" i="1" l="1"/>
  <c r="AO273" i="1" s="1"/>
  <c r="W273" i="1" l="1"/>
  <c r="AL273" i="1" s="1"/>
  <c r="AU272" i="1"/>
  <c r="AN272" i="1"/>
  <c r="AM273" i="1" l="1"/>
  <c r="U272" i="1" l="1"/>
  <c r="AO272" i="1" s="1"/>
  <c r="W272" i="1" l="1"/>
  <c r="AL272" i="1" s="1"/>
  <c r="AU271" i="1"/>
  <c r="AN271" i="1"/>
  <c r="AM272" i="1" l="1"/>
  <c r="U271" i="1" l="1"/>
  <c r="AO271" i="1" s="1"/>
  <c r="W271" i="1" l="1"/>
  <c r="AL271" i="1" s="1"/>
  <c r="AU270" i="1"/>
  <c r="AN270" i="1"/>
  <c r="AM271" i="1" l="1"/>
  <c r="U270" i="1" l="1"/>
  <c r="AO270" i="1" s="1"/>
  <c r="W270" i="1" l="1"/>
  <c r="AL270" i="1" s="1"/>
  <c r="AU269" i="1"/>
  <c r="AN269" i="1"/>
  <c r="AM270" i="1" l="1"/>
  <c r="U269" i="1" l="1"/>
  <c r="AO269" i="1" s="1"/>
  <c r="W269" i="1" l="1"/>
  <c r="AL269" i="1" s="1"/>
  <c r="AU268" i="1"/>
  <c r="AN268" i="1"/>
  <c r="AM269" i="1" l="1"/>
  <c r="U268" i="1" l="1"/>
  <c r="AO268" i="1" s="1"/>
  <c r="W268" i="1" l="1"/>
  <c r="AL268" i="1" s="1"/>
  <c r="AU267" i="1"/>
  <c r="AN267" i="1"/>
  <c r="AM268" i="1" l="1"/>
  <c r="U267" i="1" l="1"/>
  <c r="AO267" i="1" s="1"/>
  <c r="W267" i="1" l="1"/>
  <c r="AL267" i="1" s="1"/>
  <c r="AU266" i="1"/>
  <c r="AN266" i="1"/>
  <c r="AM267" i="1" l="1"/>
  <c r="U266" i="1" l="1"/>
  <c r="AO266" i="1" s="1"/>
  <c r="W266" i="1" l="1"/>
  <c r="AL266" i="1" s="1"/>
  <c r="AU265" i="1"/>
  <c r="AN265" i="1"/>
  <c r="AM266" i="1" l="1"/>
  <c r="U265" i="1" l="1"/>
  <c r="AO265" i="1" s="1"/>
  <c r="W265" i="1" l="1"/>
  <c r="AL265" i="1" s="1"/>
  <c r="AU264" i="1"/>
  <c r="AN264" i="1"/>
  <c r="AM265" i="1" l="1"/>
  <c r="U264" i="1" l="1"/>
  <c r="AO264" i="1" s="1"/>
  <c r="W264" i="1" l="1"/>
  <c r="AL264" i="1" s="1"/>
  <c r="AU263" i="1"/>
  <c r="AN263" i="1"/>
  <c r="AM264" i="1" l="1"/>
  <c r="U263" i="1" l="1"/>
  <c r="AO263" i="1" s="1"/>
  <c r="W263" i="1" l="1"/>
  <c r="AL263" i="1" s="1"/>
  <c r="AU262" i="1"/>
  <c r="AN262" i="1"/>
  <c r="AM263" i="1" l="1"/>
  <c r="U262" i="1" l="1"/>
  <c r="AO262" i="1" s="1"/>
  <c r="W262" i="1" l="1"/>
  <c r="AL262" i="1" s="1"/>
  <c r="AU261" i="1"/>
  <c r="AN261" i="1"/>
  <c r="AM262" i="1" l="1"/>
  <c r="U261" i="1" l="1"/>
  <c r="AO261" i="1" s="1"/>
  <c r="W261" i="1" l="1"/>
  <c r="AL261" i="1" s="1"/>
  <c r="AU260" i="1"/>
  <c r="AN260" i="1"/>
  <c r="AM261" i="1" l="1"/>
  <c r="U260" i="1" l="1"/>
  <c r="AO260" i="1" s="1"/>
  <c r="W260" i="1" l="1"/>
  <c r="AL260" i="1" s="1"/>
  <c r="AU259" i="1"/>
  <c r="AN259" i="1"/>
  <c r="AM260" i="1" l="1"/>
  <c r="U259" i="1" l="1"/>
  <c r="AO259" i="1" s="1"/>
  <c r="W259" i="1" l="1"/>
  <c r="AL259" i="1" s="1"/>
  <c r="AU258" i="1"/>
  <c r="AN258" i="1"/>
  <c r="AM259" i="1" l="1"/>
  <c r="U258" i="1" l="1"/>
  <c r="AO258" i="1" s="1"/>
  <c r="W258" i="1" l="1"/>
  <c r="AL258" i="1" s="1"/>
  <c r="AU257" i="1"/>
  <c r="AN257" i="1"/>
  <c r="AM258" i="1" l="1"/>
  <c r="U257" i="1" l="1"/>
  <c r="AO257" i="1" s="1"/>
  <c r="W257" i="1" l="1"/>
  <c r="AL257" i="1" s="1"/>
  <c r="AU256" i="1"/>
  <c r="AN256" i="1"/>
  <c r="AM257" i="1" l="1"/>
  <c r="U256" i="1" l="1"/>
  <c r="AO256" i="1" s="1"/>
  <c r="W256" i="1" l="1"/>
  <c r="AL256" i="1" s="1"/>
  <c r="AU255" i="1"/>
  <c r="AN255" i="1"/>
  <c r="AM256" i="1" l="1"/>
  <c r="U255" i="1" l="1"/>
  <c r="AO255" i="1" s="1"/>
  <c r="W255" i="1" l="1"/>
  <c r="AL255" i="1" s="1"/>
  <c r="AU254" i="1"/>
  <c r="AN254" i="1"/>
  <c r="AM255" i="1" l="1"/>
  <c r="U254" i="1" l="1"/>
  <c r="AO254" i="1" s="1"/>
  <c r="W254" i="1" l="1"/>
  <c r="AL254" i="1" s="1"/>
  <c r="AU253" i="1"/>
  <c r="AN253" i="1"/>
  <c r="AM254" i="1" l="1"/>
  <c r="U253" i="1" l="1"/>
  <c r="AO253" i="1" s="1"/>
  <c r="W253" i="1" l="1"/>
  <c r="AL253" i="1" s="1"/>
  <c r="AU252" i="1"/>
  <c r="AN252" i="1"/>
  <c r="AM253" i="1" l="1"/>
  <c r="U252" i="1" l="1"/>
  <c r="AO252" i="1" s="1"/>
  <c r="W252" i="1" l="1"/>
  <c r="AL252" i="1" s="1"/>
  <c r="AU251" i="1"/>
  <c r="AN251" i="1"/>
  <c r="AM252" i="1" l="1"/>
  <c r="U251" i="1" l="1"/>
  <c r="AO251" i="1" s="1"/>
  <c r="W251" i="1" l="1"/>
  <c r="AL251" i="1" s="1"/>
  <c r="AU250" i="1"/>
  <c r="AN250" i="1"/>
  <c r="AM251" i="1" l="1"/>
  <c r="U250" i="1" l="1"/>
  <c r="AO250" i="1" s="1"/>
  <c r="W250" i="1" l="1"/>
  <c r="AL250" i="1" s="1"/>
  <c r="AU249" i="1"/>
  <c r="AM250" i="1" l="1"/>
  <c r="AN249" i="1"/>
  <c r="U249" i="1" l="1"/>
  <c r="W249" i="1" l="1"/>
  <c r="AU248" i="1"/>
  <c r="AN248" i="1"/>
  <c r="U248" i="1" l="1"/>
  <c r="W248" i="1" l="1"/>
  <c r="AU247" i="1"/>
  <c r="AN247" i="1"/>
  <c r="U247" i="1" l="1"/>
  <c r="W247" i="1" l="1"/>
  <c r="AU246" i="1"/>
  <c r="AN246" i="1"/>
  <c r="U246" i="1" l="1"/>
  <c r="W246" i="1" l="1"/>
  <c r="AU245" i="1"/>
  <c r="AN245" i="1"/>
  <c r="U245" i="1" l="1"/>
  <c r="W245" i="1" l="1"/>
  <c r="AU244" i="1"/>
  <c r="AN244" i="1"/>
  <c r="U244" i="1" l="1"/>
  <c r="W244" i="1" l="1"/>
  <c r="AU243" i="1"/>
  <c r="AM244" i="1" l="1"/>
  <c r="AN243" i="1"/>
  <c r="U243" i="1" l="1"/>
  <c r="W243" i="1" l="1"/>
  <c r="AU242" i="1"/>
  <c r="AN242" i="1"/>
  <c r="U242" i="1" l="1"/>
  <c r="W242" i="1" l="1"/>
  <c r="AU241" i="1"/>
  <c r="AN241" i="1"/>
  <c r="U241" i="1" l="1"/>
  <c r="W241" i="1" l="1"/>
  <c r="AU240" i="1"/>
  <c r="AN240" i="1"/>
  <c r="U240" i="1" l="1"/>
  <c r="W240" i="1" l="1"/>
  <c r="AU239" i="1"/>
  <c r="AN239" i="1"/>
  <c r="U239" i="1" l="1"/>
  <c r="W239" i="1" l="1"/>
  <c r="AU238" i="1"/>
  <c r="AN238" i="1"/>
  <c r="U238" i="1" l="1"/>
  <c r="W238" i="1" l="1"/>
  <c r="AU237" i="1"/>
  <c r="AN237" i="1"/>
  <c r="U237" i="1" l="1"/>
  <c r="W237" i="1" l="1"/>
  <c r="AU236" i="1"/>
  <c r="AN236" i="1" l="1"/>
  <c r="U236" i="1" l="1"/>
  <c r="W236" i="1" l="1"/>
  <c r="AU235" i="1"/>
  <c r="AN235" i="1"/>
  <c r="U235" i="1" l="1"/>
  <c r="W235" i="1" l="1"/>
  <c r="AU234" i="1"/>
  <c r="AN234" i="1"/>
  <c r="U234" i="1" l="1"/>
  <c r="W234" i="1" l="1"/>
  <c r="AU233" i="1"/>
  <c r="AN233" i="1"/>
  <c r="U233" i="1" l="1"/>
  <c r="W233" i="1" l="1"/>
  <c r="AU232" i="1"/>
  <c r="AN232" i="1"/>
  <c r="U232" i="1" l="1"/>
  <c r="W232" i="1" l="1"/>
  <c r="AU231" i="1"/>
  <c r="AN231" i="1"/>
  <c r="U231" i="1" l="1"/>
  <c r="W231" i="1" l="1"/>
  <c r="AU230" i="1"/>
  <c r="AM231" i="1" l="1"/>
  <c r="AN230" i="1"/>
  <c r="U230" i="1" l="1"/>
  <c r="W230" i="1" l="1"/>
  <c r="AU229" i="1"/>
  <c r="AN229" i="1"/>
  <c r="U229" i="1" l="1"/>
  <c r="W229" i="1" l="1"/>
  <c r="AU228" i="1"/>
  <c r="AN228" i="1"/>
  <c r="U228" i="1" l="1"/>
  <c r="W228" i="1" l="1"/>
  <c r="AU227" i="1"/>
  <c r="AN227" i="1"/>
  <c r="U227" i="1" l="1"/>
  <c r="W227" i="1" l="1"/>
  <c r="AU226" i="1"/>
  <c r="AN226" i="1"/>
  <c r="U226" i="1" l="1"/>
  <c r="W226" i="1" l="1"/>
  <c r="AU225" i="1"/>
  <c r="AN225" i="1"/>
  <c r="U225" i="1" l="1"/>
  <c r="W225" i="1" l="1"/>
  <c r="AU224" i="1"/>
  <c r="AN224" i="1"/>
  <c r="U224" i="1" l="1"/>
  <c r="W224" i="1" l="1"/>
  <c r="AU223" i="1"/>
  <c r="AN223" i="1"/>
  <c r="U223" i="1" l="1"/>
  <c r="W223" i="1" l="1"/>
  <c r="AU222" i="1"/>
  <c r="AN222" i="1"/>
  <c r="U222" i="1" l="1"/>
  <c r="W222" i="1" l="1"/>
  <c r="AU221" i="1"/>
  <c r="AN221" i="1"/>
  <c r="U221" i="1" l="1"/>
  <c r="W221" i="1" l="1"/>
  <c r="AU220" i="1"/>
  <c r="AN220" i="1" l="1"/>
  <c r="U220" i="1" l="1"/>
  <c r="W220" i="1" l="1"/>
  <c r="AU219" i="1"/>
  <c r="AN219" i="1"/>
  <c r="U219" i="1" l="1"/>
  <c r="W219" i="1" l="1"/>
  <c r="AU218" i="1"/>
  <c r="AN218" i="1"/>
  <c r="U218" i="1" l="1"/>
  <c r="W218" i="1" l="1"/>
  <c r="AU217" i="1"/>
  <c r="AN217" i="1"/>
  <c r="U217" i="1" l="1"/>
  <c r="W217" i="1" l="1"/>
  <c r="AU216" i="1"/>
  <c r="AN216" i="1" l="1"/>
  <c r="U216" i="1" l="1"/>
  <c r="W216" i="1" l="1"/>
  <c r="AU215" i="1"/>
  <c r="AN215" i="1"/>
  <c r="U215" i="1" l="1"/>
  <c r="W215" i="1" l="1"/>
  <c r="AU214" i="1"/>
  <c r="AN214" i="1"/>
  <c r="U214" i="1" l="1"/>
  <c r="W214" i="1" l="1"/>
  <c r="AU213" i="1"/>
  <c r="AN213" i="1"/>
  <c r="U213" i="1" l="1"/>
  <c r="W213" i="1" l="1"/>
  <c r="AU212" i="1"/>
  <c r="AN212" i="1" l="1"/>
  <c r="U212" i="1" l="1"/>
  <c r="W212" i="1" l="1"/>
  <c r="AU211" i="1"/>
  <c r="AN211" i="1"/>
  <c r="U211" i="1" l="1"/>
  <c r="W211" i="1" l="1"/>
  <c r="AU210" i="1"/>
  <c r="AN210" i="1"/>
  <c r="U210" i="1" l="1"/>
  <c r="W210" i="1" l="1"/>
  <c r="AU209" i="1"/>
  <c r="AN209" i="1" l="1"/>
  <c r="U209" i="1" l="1"/>
  <c r="W209" i="1" l="1"/>
  <c r="AU208" i="1"/>
  <c r="AN208" i="1"/>
  <c r="U208" i="1" l="1"/>
  <c r="W208" i="1" l="1"/>
  <c r="AU207" i="1"/>
  <c r="AN207" i="1"/>
  <c r="U207" i="1" l="1"/>
  <c r="W207" i="1" l="1"/>
  <c r="AU206" i="1"/>
  <c r="AN206" i="1" l="1"/>
  <c r="U206" i="1" l="1"/>
  <c r="W206" i="1" l="1"/>
  <c r="AU205" i="1"/>
  <c r="AN205" i="1"/>
  <c r="U205" i="1" l="1"/>
  <c r="W205" i="1" l="1"/>
  <c r="AU204" i="1"/>
  <c r="AN204" i="1"/>
  <c r="U204" i="1" l="1"/>
  <c r="W204" i="1" l="1"/>
  <c r="AU203" i="1"/>
  <c r="AN203" i="1"/>
  <c r="U203" i="1" l="1"/>
  <c r="W203" i="1" l="1"/>
  <c r="AU202" i="1"/>
  <c r="AN202" i="1"/>
  <c r="U202" i="1" l="1"/>
  <c r="W202" i="1" l="1"/>
  <c r="AU201" i="1"/>
  <c r="AN201" i="1"/>
  <c r="U201" i="1" l="1"/>
  <c r="W201" i="1" l="1"/>
  <c r="AU200" i="1"/>
  <c r="AN200" i="1"/>
  <c r="U200" i="1" l="1"/>
  <c r="W200" i="1" l="1"/>
  <c r="AU199" i="1"/>
  <c r="AN199" i="1" l="1"/>
  <c r="U199" i="1" l="1"/>
  <c r="W199" i="1" l="1"/>
  <c r="AU198" i="1"/>
  <c r="AN198" i="1"/>
  <c r="U198" i="1" l="1"/>
  <c r="W198" i="1" l="1"/>
  <c r="AU197" i="1"/>
  <c r="AN197" i="1"/>
  <c r="U197" i="1" l="1"/>
  <c r="W197" i="1" l="1"/>
  <c r="AU196" i="1"/>
  <c r="AN196" i="1"/>
  <c r="U196" i="1" l="1"/>
  <c r="W196" i="1" l="1"/>
  <c r="AU195" i="1"/>
  <c r="AN195" i="1"/>
  <c r="U195" i="1" l="1"/>
  <c r="W195" i="1" l="1"/>
  <c r="AU194" i="1"/>
  <c r="AN194" i="1"/>
  <c r="U194" i="1" l="1"/>
  <c r="W194" i="1" l="1"/>
  <c r="AU193" i="1"/>
  <c r="AN193" i="1"/>
  <c r="U193" i="1" l="1"/>
  <c r="W193" i="1" l="1"/>
  <c r="AU192" i="1"/>
  <c r="AN192" i="1"/>
  <c r="U192" i="1" l="1"/>
  <c r="W192" i="1" l="1"/>
  <c r="AU191" i="1"/>
  <c r="AN191" i="1"/>
  <c r="U191" i="1" l="1"/>
  <c r="W191" i="1" l="1"/>
  <c r="AU190" i="1"/>
  <c r="AM191" i="1" l="1"/>
  <c r="AN190" i="1"/>
  <c r="U190" i="1" l="1"/>
  <c r="W190" i="1" l="1"/>
  <c r="AU189" i="1"/>
  <c r="AM190" i="1" l="1"/>
  <c r="AN189" i="1"/>
  <c r="U189" i="1" l="1"/>
  <c r="W189" i="1" l="1"/>
  <c r="AU188" i="1"/>
  <c r="AM189" i="1" l="1"/>
  <c r="AN188" i="1"/>
  <c r="U188" i="1" l="1"/>
  <c r="W188" i="1" l="1"/>
  <c r="AU187" i="1"/>
  <c r="AN187" i="1" l="1"/>
  <c r="U187" i="1" l="1"/>
  <c r="W187" i="1" l="1"/>
  <c r="AU186" i="1"/>
  <c r="AN186" i="1"/>
  <c r="U186" i="1" l="1"/>
  <c r="W186" i="1" l="1"/>
  <c r="AU185" i="1"/>
  <c r="AN185" i="1"/>
  <c r="U185" i="1" l="1"/>
  <c r="W185" i="1" l="1"/>
  <c r="AU184" i="1"/>
  <c r="AN184" i="1"/>
  <c r="U184" i="1" l="1"/>
  <c r="W184" i="1" l="1"/>
  <c r="AU183" i="1"/>
  <c r="AN183" i="1"/>
  <c r="U183" i="1" l="1"/>
  <c r="W183" i="1" l="1"/>
  <c r="AU182" i="1"/>
  <c r="AN182" i="1"/>
  <c r="U182" i="1" l="1"/>
  <c r="W182" i="1" l="1"/>
  <c r="AU181" i="1"/>
  <c r="AN181" i="1"/>
  <c r="U181" i="1" l="1"/>
  <c r="W181" i="1" l="1"/>
  <c r="AU180" i="1"/>
  <c r="AN180" i="1"/>
  <c r="U180" i="1" l="1"/>
  <c r="W180" i="1" l="1"/>
  <c r="AU179" i="1"/>
  <c r="AN179" i="1" l="1"/>
  <c r="U179" i="1" l="1"/>
  <c r="W179" i="1" l="1"/>
  <c r="AU178" i="1"/>
  <c r="AN178" i="1"/>
  <c r="U178" i="1" l="1"/>
  <c r="W178" i="1" l="1"/>
  <c r="AU177" i="1"/>
  <c r="AN177" i="1"/>
  <c r="U177" i="1" l="1"/>
  <c r="W177" i="1" l="1"/>
  <c r="AU176" i="1"/>
  <c r="AN176" i="1"/>
  <c r="U176" i="1" l="1"/>
  <c r="W176" i="1" l="1"/>
  <c r="AU175" i="1"/>
  <c r="AN175" i="1"/>
  <c r="U175" i="1" l="1"/>
  <c r="W175" i="1" l="1"/>
  <c r="AU174" i="1"/>
  <c r="AN174" i="1"/>
  <c r="U174" i="1" l="1"/>
  <c r="W174" i="1" l="1"/>
  <c r="AU173" i="1"/>
  <c r="AN173" i="1"/>
  <c r="U173" i="1" l="1"/>
  <c r="W173" i="1" l="1"/>
  <c r="AU172" i="1"/>
  <c r="AN172" i="1"/>
  <c r="U172" i="1" l="1"/>
  <c r="W172" i="1" l="1"/>
  <c r="AU171" i="1"/>
  <c r="AN171" i="1"/>
  <c r="U171" i="1" l="1"/>
  <c r="W171" i="1" l="1"/>
  <c r="AU170" i="1"/>
  <c r="AN170" i="1"/>
  <c r="U170" i="1" l="1"/>
  <c r="W170" i="1" l="1"/>
  <c r="AU169" i="1"/>
  <c r="AN169" i="1"/>
  <c r="U169" i="1" l="1"/>
  <c r="W169" i="1" l="1"/>
  <c r="AU168" i="1"/>
  <c r="AN168" i="1"/>
  <c r="U168" i="1" l="1"/>
  <c r="W168" i="1" l="1"/>
  <c r="AU167" i="1"/>
  <c r="AN167" i="1"/>
  <c r="U167" i="1" l="1"/>
  <c r="W167" i="1" l="1"/>
  <c r="AU166" i="1"/>
  <c r="AN166" i="1"/>
  <c r="U166" i="1" l="1"/>
  <c r="W166" i="1" l="1"/>
  <c r="AU165" i="1"/>
  <c r="AN165" i="1"/>
  <c r="U165" i="1" l="1"/>
  <c r="W165" i="1" l="1"/>
  <c r="AU164" i="1"/>
  <c r="AN164" i="1" l="1"/>
  <c r="U164" i="1" l="1"/>
  <c r="W164" i="1" l="1"/>
  <c r="AU163" i="1"/>
  <c r="AN163" i="1"/>
  <c r="U163" i="1" l="1"/>
  <c r="W163" i="1" l="1"/>
  <c r="AU162" i="1"/>
  <c r="AN162" i="1"/>
  <c r="U162" i="1" l="1"/>
  <c r="W162" i="1" l="1"/>
  <c r="AU161" i="1"/>
  <c r="AN161" i="1"/>
  <c r="U161" i="1" l="1"/>
  <c r="W161" i="1" l="1"/>
  <c r="AU160" i="1"/>
  <c r="AN160" i="1"/>
  <c r="U160" i="1" l="1"/>
  <c r="W160" i="1" l="1"/>
  <c r="AU159" i="1"/>
  <c r="AN159" i="1"/>
  <c r="U159" i="1" l="1"/>
  <c r="W159" i="1" l="1"/>
  <c r="AU158" i="1"/>
  <c r="AN158" i="1"/>
  <c r="U158" i="1" l="1"/>
  <c r="W158" i="1" l="1"/>
  <c r="AU157" i="1"/>
  <c r="AN157" i="1"/>
  <c r="U157" i="1" l="1"/>
  <c r="W157" i="1" l="1"/>
  <c r="AU156" i="1"/>
  <c r="AN156" i="1"/>
  <c r="U156" i="1" l="1"/>
  <c r="W156" i="1" l="1"/>
  <c r="AU155" i="1"/>
  <c r="AN155" i="1"/>
  <c r="U155" i="1" l="1"/>
  <c r="AL156" i="1"/>
  <c r="W155" i="1" l="1"/>
  <c r="AU154" i="1"/>
  <c r="AN154" i="1"/>
  <c r="U154" i="1" l="1"/>
  <c r="W154" i="1" l="1"/>
  <c r="AU153" i="1"/>
  <c r="AN153" i="1"/>
  <c r="U153" i="1" l="1"/>
  <c r="W153" i="1" l="1"/>
  <c r="AU152" i="1"/>
  <c r="AN152" i="1"/>
  <c r="U152" i="1" l="1"/>
  <c r="W152" i="1" l="1"/>
  <c r="AU151" i="1"/>
  <c r="AN151" i="1"/>
  <c r="U151" i="1" l="1"/>
  <c r="W151" i="1" l="1"/>
  <c r="AU150" i="1"/>
  <c r="AN150" i="1"/>
  <c r="U150" i="1" l="1"/>
  <c r="W150" i="1" l="1"/>
  <c r="AU149" i="1"/>
  <c r="AN149" i="1"/>
  <c r="U149" i="1" l="1"/>
  <c r="W149" i="1" l="1"/>
  <c r="AU148" i="1"/>
  <c r="AN148" i="1" l="1"/>
  <c r="U148" i="1" l="1"/>
  <c r="W148" i="1" l="1"/>
  <c r="AU147" i="1"/>
  <c r="AN147" i="1"/>
  <c r="U147" i="1" l="1"/>
  <c r="W147" i="1" l="1"/>
  <c r="AU146" i="1"/>
  <c r="AN146" i="1"/>
  <c r="U146" i="1" l="1"/>
  <c r="W146" i="1" l="1"/>
  <c r="AU145" i="1"/>
  <c r="AN145" i="1"/>
  <c r="U145" i="1" l="1"/>
  <c r="W145" i="1" l="1"/>
  <c r="AU144" i="1"/>
  <c r="AN144" i="1"/>
  <c r="U144" i="1" l="1"/>
  <c r="W144" i="1" l="1"/>
  <c r="AU143" i="1"/>
  <c r="AN143" i="1"/>
  <c r="U143" i="1" l="1"/>
  <c r="W143" i="1" l="1"/>
  <c r="AU142" i="1"/>
  <c r="AN142" i="1"/>
  <c r="U142" i="1" l="1"/>
  <c r="W142" i="1" l="1"/>
  <c r="AU141" i="1"/>
  <c r="AN141" i="1"/>
  <c r="U141" i="1" l="1"/>
  <c r="W141" i="1" l="1"/>
  <c r="AU140" i="1"/>
  <c r="AN140" i="1"/>
  <c r="U140" i="1" l="1"/>
  <c r="W140" i="1" l="1"/>
  <c r="AU139" i="1"/>
  <c r="AN139" i="1"/>
  <c r="U139" i="1" l="1"/>
  <c r="W139" i="1" l="1"/>
  <c r="AU138" i="1"/>
  <c r="AN138" i="1"/>
  <c r="U138" i="1" l="1"/>
  <c r="W138" i="1" l="1"/>
  <c r="AU137" i="1"/>
  <c r="AN137" i="1"/>
  <c r="U137" i="1" l="1"/>
  <c r="W137" i="1" l="1"/>
  <c r="AU136" i="1"/>
  <c r="AN136" i="1"/>
  <c r="U136" i="1" l="1"/>
  <c r="W136" i="1" l="1"/>
  <c r="AU135" i="1"/>
  <c r="AN135" i="1"/>
  <c r="U135" i="1" l="1"/>
  <c r="W135" i="1" l="1"/>
  <c r="AU134" i="1"/>
  <c r="AN134" i="1"/>
  <c r="U134" i="1" l="1"/>
  <c r="W134" i="1" l="1"/>
  <c r="AU133" i="1"/>
  <c r="AN133" i="1"/>
  <c r="U133" i="1" l="1"/>
  <c r="W133" i="1" l="1"/>
  <c r="AU132" i="1"/>
  <c r="AN132" i="1"/>
  <c r="U132" i="1" l="1"/>
  <c r="W132" i="1" l="1"/>
  <c r="AU131" i="1"/>
  <c r="AN131" i="1"/>
  <c r="AM132" i="1" l="1"/>
  <c r="AU130" i="1"/>
  <c r="AN130" i="1"/>
  <c r="U130" i="1" l="1"/>
  <c r="W130" i="1" l="1"/>
  <c r="AU129" i="1"/>
  <c r="AM130" i="1" l="1"/>
  <c r="AN129" i="1"/>
  <c r="U129" i="1" l="1"/>
  <c r="W129" i="1" l="1"/>
  <c r="AU128" i="1"/>
  <c r="AM129" i="1" l="1"/>
  <c r="AN128" i="1"/>
  <c r="U128" i="1" l="1"/>
  <c r="W128" i="1" l="1"/>
  <c r="AU127" i="1"/>
  <c r="AM128" i="1" l="1"/>
  <c r="AN127" i="1"/>
  <c r="U127" i="1" l="1"/>
  <c r="W127" i="1" l="1"/>
  <c r="AU126" i="1"/>
  <c r="AM127" i="1" l="1"/>
  <c r="AN126" i="1"/>
  <c r="U126" i="1" l="1"/>
  <c r="W126" i="1" l="1"/>
  <c r="AU125" i="1"/>
  <c r="AM126" i="1" l="1"/>
  <c r="AN125" i="1"/>
  <c r="U125" i="1" l="1"/>
  <c r="W125" i="1" l="1"/>
  <c r="AU124" i="1"/>
  <c r="AM125" i="1" l="1"/>
  <c r="AN124" i="1"/>
  <c r="U124" i="1" l="1"/>
  <c r="W124" i="1" l="1"/>
  <c r="AU123" i="1"/>
  <c r="AM124" i="1" l="1"/>
  <c r="AN123" i="1"/>
  <c r="U123" i="1" l="1"/>
  <c r="W123" i="1" l="1"/>
  <c r="AU122" i="1"/>
  <c r="AM123" i="1" l="1"/>
  <c r="AN122" i="1"/>
  <c r="U122" i="1" l="1"/>
  <c r="W122" i="1" l="1"/>
  <c r="AU121" i="1"/>
  <c r="AM122" i="1" l="1"/>
  <c r="AN121" i="1"/>
  <c r="U121" i="1" l="1"/>
  <c r="W121" i="1" l="1"/>
  <c r="AU120" i="1"/>
  <c r="AM121" i="1" l="1"/>
  <c r="AN120" i="1"/>
  <c r="U120" i="1" l="1"/>
  <c r="W120" i="1" l="1"/>
  <c r="AU119" i="1"/>
  <c r="AM120" i="1" l="1"/>
  <c r="AN119" i="1"/>
  <c r="U119" i="1" l="1"/>
  <c r="W119" i="1" l="1"/>
  <c r="AU118" i="1"/>
  <c r="AM119" i="1" l="1"/>
  <c r="AN118" i="1"/>
  <c r="U118" i="1" l="1"/>
  <c r="W118" i="1" l="1"/>
  <c r="AU117" i="1"/>
  <c r="AM118" i="1" l="1"/>
  <c r="AN117" i="1"/>
  <c r="U117" i="1" l="1"/>
  <c r="W117" i="1" l="1"/>
  <c r="AU116" i="1"/>
  <c r="AM117" i="1" l="1"/>
  <c r="AN116" i="1"/>
  <c r="U116" i="1" l="1"/>
  <c r="W116" i="1" l="1"/>
  <c r="AU115" i="1"/>
  <c r="AM116" i="1" l="1"/>
  <c r="AN115" i="1"/>
  <c r="U115" i="1" l="1"/>
  <c r="W115" i="1" l="1"/>
  <c r="AU114" i="1"/>
  <c r="AM115" i="1" l="1"/>
  <c r="AN114" i="1"/>
  <c r="U114" i="1" l="1"/>
  <c r="W114" i="1" l="1"/>
  <c r="AU113" i="1"/>
  <c r="AM114" i="1" l="1"/>
  <c r="AN113" i="1"/>
  <c r="U113" i="1" l="1"/>
  <c r="W113" i="1" l="1"/>
  <c r="AU112" i="1"/>
  <c r="AM113" i="1" l="1"/>
  <c r="AN112" i="1"/>
  <c r="U112" i="1" l="1"/>
  <c r="W112" i="1" l="1"/>
  <c r="AU111" i="1"/>
  <c r="AM112" i="1" l="1"/>
  <c r="AN111" i="1"/>
  <c r="U111" i="1" l="1"/>
  <c r="W111" i="1" l="1"/>
  <c r="AU110" i="1"/>
  <c r="AM111" i="1" l="1"/>
  <c r="AN110" i="1"/>
  <c r="U110" i="1" l="1"/>
  <c r="W110" i="1" l="1"/>
  <c r="AU109" i="1"/>
  <c r="AM110" i="1" l="1"/>
  <c r="AN109" i="1"/>
  <c r="U109" i="1" l="1"/>
  <c r="W109" i="1" l="1"/>
  <c r="AU108" i="1"/>
  <c r="AM109" i="1" l="1"/>
  <c r="AN108" i="1"/>
  <c r="U108" i="1" l="1"/>
  <c r="W108" i="1" l="1"/>
  <c r="AU107" i="1"/>
  <c r="AM108" i="1" l="1"/>
  <c r="AN107" i="1"/>
  <c r="U107" i="1" l="1"/>
  <c r="W107" i="1" l="1"/>
  <c r="AU106" i="1"/>
  <c r="AM107" i="1" l="1"/>
  <c r="AN106" i="1"/>
  <c r="U106" i="1" l="1"/>
  <c r="W106" i="1" l="1"/>
  <c r="AU105" i="1"/>
  <c r="AM106" i="1" l="1"/>
  <c r="AN105" i="1"/>
  <c r="U105" i="1" l="1"/>
  <c r="W105" i="1" l="1"/>
  <c r="AU104" i="1"/>
  <c r="AM105" i="1" l="1"/>
  <c r="AN104" i="1"/>
  <c r="U104" i="1" l="1"/>
  <c r="W104" i="1" l="1"/>
  <c r="AU103" i="1"/>
  <c r="AM104" i="1" l="1"/>
  <c r="AN103" i="1"/>
  <c r="U103" i="1" l="1"/>
  <c r="W103" i="1" l="1"/>
  <c r="AU102" i="1"/>
  <c r="AM103" i="1" l="1"/>
  <c r="AN102" i="1"/>
  <c r="U102" i="1" l="1"/>
  <c r="W102" i="1" l="1"/>
  <c r="AU101" i="1"/>
  <c r="AM102" i="1" l="1"/>
  <c r="AN101" i="1"/>
  <c r="U101" i="1" l="1"/>
  <c r="W101" i="1" l="1"/>
  <c r="AU100" i="1"/>
  <c r="AM101" i="1" l="1"/>
  <c r="AN100" i="1"/>
  <c r="U100" i="1" l="1"/>
  <c r="W100" i="1" l="1"/>
  <c r="AU99" i="1"/>
  <c r="AM100" i="1" l="1"/>
  <c r="AN99" i="1"/>
  <c r="U99" i="1" l="1"/>
  <c r="W99" i="1" l="1"/>
  <c r="AU98" i="1"/>
  <c r="AM99" i="1" l="1"/>
  <c r="AN98" i="1"/>
  <c r="U98" i="1" l="1"/>
  <c r="W98" i="1" l="1"/>
  <c r="AU97" i="1"/>
  <c r="AM98" i="1" l="1"/>
  <c r="AN97" i="1"/>
  <c r="U97" i="1" l="1"/>
  <c r="W97" i="1" l="1"/>
  <c r="AU96" i="1"/>
  <c r="AM97" i="1" l="1"/>
  <c r="AN96" i="1"/>
  <c r="U96" i="1" l="1"/>
  <c r="W96" i="1" l="1"/>
  <c r="AU95" i="1"/>
  <c r="AM96" i="1" l="1"/>
  <c r="AN95" i="1"/>
  <c r="U95" i="1" l="1"/>
  <c r="W95" i="1" l="1"/>
  <c r="AU94" i="1"/>
  <c r="AM95" i="1" l="1"/>
  <c r="AN94" i="1"/>
  <c r="U94" i="1" l="1"/>
  <c r="W94" i="1" l="1"/>
  <c r="AU93" i="1"/>
  <c r="AM94" i="1" l="1"/>
  <c r="AN93" i="1"/>
  <c r="U93" i="1" l="1"/>
  <c r="W93" i="1" l="1"/>
  <c r="AU92" i="1"/>
  <c r="AL93" i="1"/>
  <c r="AM93" i="1" l="1"/>
  <c r="AN92" i="1"/>
  <c r="U92" i="1" l="1"/>
  <c r="W92" i="1" l="1"/>
  <c r="AU91" i="1"/>
  <c r="AM92" i="1" l="1"/>
  <c r="AN91" i="1"/>
  <c r="U91" i="1" l="1"/>
  <c r="W91" i="1" l="1"/>
  <c r="AU90" i="1"/>
  <c r="AM91" i="1" l="1"/>
  <c r="AN90" i="1"/>
  <c r="U90" i="1" l="1"/>
  <c r="W90" i="1" l="1"/>
  <c r="AU89" i="1"/>
  <c r="AM90" i="1" l="1"/>
  <c r="AN89" i="1"/>
  <c r="U89" i="1" l="1"/>
  <c r="W89" i="1" l="1"/>
  <c r="AU88" i="1"/>
  <c r="AM89" i="1" l="1"/>
  <c r="AN88" i="1"/>
  <c r="U88" i="1" l="1"/>
  <c r="W88" i="1" l="1"/>
  <c r="AU87" i="1"/>
  <c r="AN87" i="1"/>
  <c r="U87" i="1" l="1"/>
  <c r="W87" i="1" l="1"/>
  <c r="AU86" i="1"/>
  <c r="AN86" i="1"/>
  <c r="U86" i="1" l="1"/>
  <c r="W86" i="1" l="1"/>
  <c r="AU85" i="1"/>
  <c r="AN85" i="1"/>
  <c r="U85" i="1" l="1"/>
  <c r="W85" i="1" l="1"/>
  <c r="AU84" i="1"/>
  <c r="AN84" i="1"/>
  <c r="U84" i="1" l="1"/>
  <c r="W84" i="1" l="1"/>
  <c r="AU83" i="1"/>
  <c r="AN83" i="1"/>
  <c r="U83" i="1" l="1"/>
  <c r="W83" i="1" l="1"/>
  <c r="AU82" i="1"/>
  <c r="AN82" i="1"/>
  <c r="U82" i="1" l="1"/>
  <c r="W82" i="1" l="1"/>
  <c r="AU81" i="1"/>
  <c r="AN81" i="1"/>
  <c r="U81" i="1" l="1"/>
  <c r="W81" i="1" l="1"/>
  <c r="AU80" i="1"/>
  <c r="AN80" i="1" l="1"/>
  <c r="U80" i="1" l="1"/>
  <c r="W80" i="1" l="1"/>
  <c r="AU79" i="1"/>
  <c r="AN79" i="1"/>
  <c r="U79" i="1" l="1"/>
  <c r="W79" i="1" l="1"/>
  <c r="AU78" i="1"/>
  <c r="AN78" i="1"/>
  <c r="U78" i="1" l="1"/>
  <c r="W78" i="1" l="1"/>
  <c r="AU77" i="1"/>
  <c r="AN77" i="1"/>
  <c r="U77" i="1" l="1"/>
  <c r="W77" i="1" l="1"/>
  <c r="AU76" i="1"/>
  <c r="AN76" i="1"/>
  <c r="U76" i="1" l="1"/>
  <c r="W76" i="1" l="1"/>
  <c r="AU75" i="1"/>
  <c r="AN75" i="1"/>
  <c r="U75" i="1" l="1"/>
  <c r="W75" i="1" l="1"/>
  <c r="AU74" i="1"/>
  <c r="AN74" i="1"/>
  <c r="U74" i="1" l="1"/>
  <c r="W74" i="1" l="1"/>
  <c r="AU73" i="1"/>
  <c r="AN73" i="1"/>
  <c r="U73" i="1" l="1"/>
  <c r="W73" i="1" l="1"/>
  <c r="AU72" i="1"/>
  <c r="AN72" i="1"/>
  <c r="U72" i="1" l="1"/>
  <c r="W72" i="1" l="1"/>
  <c r="AU71" i="1"/>
  <c r="AN71" i="1"/>
  <c r="U71" i="1" l="1"/>
  <c r="W71" i="1" l="1"/>
  <c r="AU70" i="1"/>
  <c r="AN70" i="1"/>
  <c r="U70" i="1" l="1"/>
  <c r="W70" i="1" l="1"/>
  <c r="AU69" i="1"/>
  <c r="AN69" i="1"/>
  <c r="U69" i="1" l="1"/>
  <c r="W69" i="1" l="1"/>
  <c r="AU68" i="1"/>
  <c r="AN68" i="1"/>
  <c r="U68" i="1" l="1"/>
  <c r="W68" i="1" l="1"/>
  <c r="AU67" i="1"/>
  <c r="AN67" i="1"/>
  <c r="U67" i="1" l="1"/>
  <c r="W67" i="1" l="1"/>
  <c r="AU66" i="1"/>
  <c r="AN66" i="1"/>
  <c r="U66" i="1" l="1"/>
  <c r="W66" i="1" l="1"/>
  <c r="AU65" i="1"/>
  <c r="AN65" i="1"/>
  <c r="U65" i="1" l="1"/>
  <c r="W65" i="1" l="1"/>
  <c r="AU64" i="1"/>
  <c r="AN64" i="1"/>
  <c r="U64" i="1" l="1"/>
  <c r="W64" i="1" l="1"/>
  <c r="AU63" i="1"/>
  <c r="AN63" i="1"/>
  <c r="U63" i="1" l="1"/>
  <c r="W63" i="1" l="1"/>
  <c r="AU62" i="1"/>
  <c r="AN62" i="1"/>
  <c r="U62" i="1" l="1"/>
  <c r="W62" i="1" l="1"/>
  <c r="AU61" i="1"/>
  <c r="AN61" i="1"/>
  <c r="U61" i="1" l="1"/>
  <c r="W61" i="1" l="1"/>
  <c r="AU60" i="1"/>
  <c r="AN60" i="1"/>
  <c r="U60" i="1" l="1"/>
  <c r="W60" i="1" l="1"/>
  <c r="AU59" i="1"/>
  <c r="AN59" i="1"/>
  <c r="U59" i="1" l="1"/>
  <c r="W59" i="1" l="1"/>
  <c r="AU58" i="1"/>
  <c r="AN58" i="1"/>
  <c r="U58" i="1" l="1"/>
  <c r="W58" i="1" l="1"/>
  <c r="AU57" i="1"/>
  <c r="AN57" i="1"/>
  <c r="U57" i="1" l="1"/>
  <c r="W57" i="1" l="1"/>
  <c r="AU56" i="1"/>
  <c r="AN56" i="1"/>
  <c r="U56" i="1" l="1"/>
  <c r="W56" i="1" l="1"/>
  <c r="AU55" i="1"/>
  <c r="AN55" i="1"/>
  <c r="U55" i="1" l="1"/>
  <c r="W55" i="1" l="1"/>
  <c r="AU54" i="1"/>
  <c r="AN54" i="1"/>
  <c r="U54" i="1" l="1"/>
  <c r="W54" i="1" l="1"/>
  <c r="AU53" i="1"/>
  <c r="AN53" i="1"/>
  <c r="U53" i="1" l="1"/>
  <c r="W53" i="1" l="1"/>
  <c r="AU52" i="1"/>
  <c r="AN52" i="1"/>
  <c r="U52" i="1" l="1"/>
  <c r="W52" i="1" l="1"/>
  <c r="AU51" i="1"/>
  <c r="AN51" i="1" l="1"/>
  <c r="U51" i="1" l="1"/>
  <c r="W51" i="1" l="1"/>
  <c r="AU50" i="1"/>
  <c r="AN50" i="1"/>
  <c r="U50" i="1" l="1"/>
  <c r="W50" i="1" l="1"/>
  <c r="AU49" i="1"/>
  <c r="AN49" i="1"/>
  <c r="U49" i="1" l="1"/>
  <c r="W49" i="1" l="1"/>
  <c r="AU48" i="1"/>
  <c r="AM49" i="1" l="1"/>
  <c r="AN48" i="1"/>
  <c r="U48" i="1" l="1"/>
  <c r="W48" i="1" l="1"/>
  <c r="AU47" i="1"/>
  <c r="AN47" i="1"/>
  <c r="U47" i="1" l="1"/>
  <c r="W47" i="1" l="1"/>
  <c r="AU46" i="1"/>
  <c r="AN46" i="1"/>
  <c r="U46" i="1" l="1"/>
  <c r="W46" i="1" l="1"/>
  <c r="AU45" i="1"/>
  <c r="AN45" i="1"/>
  <c r="U45" i="1" l="1"/>
  <c r="W45" i="1" l="1"/>
  <c r="AU44" i="1"/>
  <c r="AN44" i="1"/>
  <c r="U44" i="1" l="1"/>
  <c r="W44" i="1" l="1"/>
  <c r="AU43" i="1"/>
  <c r="AN43" i="1"/>
  <c r="U43" i="1" l="1"/>
  <c r="W43" i="1" l="1"/>
  <c r="AU42" i="1"/>
  <c r="AN42" i="1"/>
  <c r="U42" i="1" l="1"/>
  <c r="W42" i="1" l="1"/>
  <c r="AU41" i="1"/>
  <c r="AN41" i="1"/>
  <c r="U41" i="1" l="1"/>
  <c r="W41" i="1" l="1"/>
  <c r="AU40" i="1"/>
  <c r="AN40" i="1"/>
  <c r="U40" i="1" l="1"/>
  <c r="W40" i="1" l="1"/>
  <c r="AU39" i="1"/>
  <c r="AN39" i="1"/>
  <c r="U39" i="1" l="1"/>
  <c r="W39" i="1" l="1"/>
  <c r="AU38" i="1"/>
  <c r="AN38" i="1"/>
  <c r="U38" i="1" l="1"/>
  <c r="W38" i="1" l="1"/>
  <c r="AU37" i="1"/>
  <c r="AN37" i="1"/>
  <c r="U37" i="1" l="1"/>
  <c r="W37" i="1" l="1"/>
  <c r="AU36" i="1"/>
  <c r="AN36" i="1"/>
  <c r="U36" i="1" l="1"/>
  <c r="W36" i="1" l="1"/>
  <c r="AU35" i="1"/>
  <c r="AN35" i="1"/>
  <c r="U35" i="1" l="1"/>
  <c r="W35" i="1" l="1"/>
  <c r="AU34" i="1"/>
  <c r="AN34" i="1"/>
  <c r="U34" i="1" l="1"/>
  <c r="W34" i="1" l="1"/>
  <c r="AU33" i="1"/>
  <c r="AN33" i="1"/>
  <c r="U33" i="1" l="1"/>
  <c r="W33" i="1" l="1"/>
  <c r="AU32" i="1"/>
  <c r="AN32" i="1"/>
  <c r="U32" i="1" l="1"/>
  <c r="W32" i="1" l="1"/>
  <c r="AU31" i="1"/>
  <c r="AN31" i="1"/>
  <c r="U31" i="1" l="1"/>
  <c r="W31" i="1" l="1"/>
  <c r="AU30" i="1"/>
  <c r="AN30" i="1"/>
  <c r="U30" i="1" l="1"/>
  <c r="W30" i="1" l="1"/>
  <c r="AU29" i="1"/>
  <c r="AN29" i="1"/>
  <c r="U29" i="1" l="1"/>
  <c r="W29" i="1" l="1"/>
  <c r="AU28" i="1"/>
  <c r="AN28" i="1"/>
  <c r="U28" i="1" l="1"/>
  <c r="W28" i="1" l="1"/>
  <c r="AU27" i="1"/>
  <c r="AN27" i="1"/>
  <c r="U27" i="1" l="1"/>
  <c r="W27" i="1" l="1"/>
  <c r="AU26" i="1"/>
  <c r="AN26" i="1"/>
  <c r="U26" i="1" l="1"/>
  <c r="W26" i="1" l="1"/>
  <c r="AU25" i="1"/>
  <c r="AM26" i="1" l="1"/>
  <c r="AN25" i="1"/>
  <c r="U25" i="1" l="1"/>
  <c r="W25" i="1" l="1"/>
  <c r="AU24" i="1"/>
  <c r="AN24" i="1"/>
  <c r="U24" i="1" l="1"/>
  <c r="W24" i="1" l="1"/>
  <c r="AU23" i="1"/>
  <c r="AN23" i="1"/>
  <c r="U23" i="1" l="1"/>
  <c r="W23" i="1" l="1"/>
  <c r="AU22" i="1"/>
  <c r="AN22" i="1"/>
  <c r="U22" i="1" l="1"/>
  <c r="W22" i="1" l="1"/>
  <c r="AU21" i="1"/>
  <c r="AM22" i="1" l="1"/>
  <c r="AN21" i="1"/>
  <c r="U21" i="1" l="1"/>
  <c r="W21" i="1" l="1"/>
  <c r="AU20" i="1"/>
  <c r="AN20" i="1"/>
  <c r="U20" i="1" l="1"/>
  <c r="W20" i="1" l="1"/>
  <c r="AU19" i="1"/>
  <c r="AN19" i="1"/>
  <c r="U19" i="1" l="1"/>
  <c r="W19" i="1" l="1"/>
  <c r="AU18" i="1"/>
  <c r="AN18" i="1"/>
  <c r="U18" i="1" l="1"/>
  <c r="W18" i="1" l="1"/>
  <c r="AU17" i="1"/>
  <c r="AN17" i="1"/>
  <c r="U17" i="1" l="1"/>
  <c r="W17" i="1" l="1"/>
  <c r="AU16" i="1"/>
  <c r="AM17" i="1" l="1"/>
  <c r="AN16" i="1"/>
  <c r="U16" i="1" l="1"/>
  <c r="W16" i="1" l="1"/>
  <c r="AU15" i="1"/>
  <c r="AN15" i="1"/>
  <c r="U15" i="1" l="1"/>
  <c r="W15" i="1" l="1"/>
  <c r="AU14" i="1"/>
  <c r="AN14" i="1"/>
  <c r="U14" i="1" l="1"/>
  <c r="W14" i="1" l="1"/>
  <c r="AU13" i="1"/>
  <c r="AN13" i="1"/>
  <c r="U13" i="1" l="1"/>
  <c r="W13" i="1" l="1"/>
  <c r="AU12" i="1"/>
  <c r="AN12" i="1"/>
  <c r="U12" i="1" l="1"/>
  <c r="W12" i="1" l="1"/>
  <c r="BE11" i="1"/>
  <c r="AU11" i="1"/>
  <c r="AN11" i="1"/>
  <c r="BE12" i="1"/>
  <c r="U11" i="1" l="1"/>
  <c r="BE13" i="1"/>
  <c r="AM81" i="1" l="1"/>
  <c r="AM52" i="1"/>
  <c r="AM88" i="1"/>
  <c r="AM87" i="1"/>
  <c r="AM86" i="1"/>
  <c r="AM85" i="1"/>
  <c r="AM84" i="1"/>
  <c r="AM83" i="1"/>
  <c r="AM82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1" i="1"/>
  <c r="AM50" i="1"/>
  <c r="AM48" i="1"/>
  <c r="AM47" i="1"/>
  <c r="AM46" i="1"/>
  <c r="AM45" i="1"/>
  <c r="AM44" i="1"/>
  <c r="AM43" i="1"/>
  <c r="AM42" i="1"/>
  <c r="AM41" i="1"/>
  <c r="AM40" i="1"/>
  <c r="AM39" i="1"/>
  <c r="AM38" i="1"/>
  <c r="AT6" i="1"/>
  <c r="W11" i="1"/>
  <c r="BE14" i="1"/>
  <c r="AL6" i="1"/>
  <c r="AD6" i="1"/>
  <c r="AK6" i="1"/>
  <c r="AM11" i="1" l="1"/>
  <c r="BE15" i="1"/>
  <c r="AM237" i="1" l="1"/>
  <c r="AM249" i="1"/>
  <c r="AM248" i="1"/>
  <c r="AM247" i="1"/>
  <c r="AM246" i="1"/>
  <c r="AM245" i="1"/>
  <c r="AM243" i="1"/>
  <c r="AM242" i="1"/>
  <c r="AM241" i="1"/>
  <c r="AM240" i="1"/>
  <c r="AM239" i="1"/>
  <c r="AM238" i="1"/>
  <c r="AM236" i="1"/>
  <c r="AM235" i="1"/>
  <c r="AM234" i="1"/>
  <c r="AM233" i="1"/>
  <c r="AM232" i="1"/>
  <c r="AM230" i="1"/>
  <c r="AM229" i="1"/>
  <c r="AM228" i="1"/>
  <c r="AM227" i="1"/>
  <c r="AM226" i="1"/>
  <c r="AM225" i="1"/>
  <c r="AM224" i="1"/>
  <c r="AT5" i="1"/>
  <c r="BE16" i="1"/>
  <c r="AK5" i="1"/>
  <c r="AD5" i="1"/>
  <c r="AL5" i="1"/>
  <c r="AK4" i="1"/>
  <c r="D5" i="1"/>
  <c r="AL4" i="1"/>
  <c r="AD4" i="1"/>
  <c r="AM37" i="1" l="1"/>
  <c r="AM36" i="1"/>
  <c r="AM35" i="1"/>
  <c r="AM34" i="1"/>
  <c r="AM33" i="1"/>
  <c r="AM32" i="1"/>
  <c r="AM31" i="1"/>
  <c r="AM30" i="1"/>
  <c r="AM29" i="1"/>
  <c r="AM28" i="1"/>
  <c r="AM27" i="1"/>
  <c r="AM25" i="1"/>
  <c r="AM24" i="1"/>
  <c r="AM23" i="1"/>
  <c r="AM21" i="1"/>
  <c r="AM20" i="1"/>
  <c r="AM19" i="1"/>
  <c r="AM18" i="1"/>
  <c r="AM16" i="1"/>
  <c r="AM15" i="1"/>
  <c r="AM14" i="1"/>
  <c r="AM13" i="1"/>
  <c r="AM12" i="1"/>
  <c r="AT4" i="1"/>
  <c r="D4" i="1"/>
  <c r="AS3" i="1"/>
  <c r="AS2" i="1"/>
  <c r="AS1" i="1"/>
  <c r="E47" i="28"/>
  <c r="BE17" i="1"/>
  <c r="D152" i="1"/>
  <c r="D292" i="1"/>
  <c r="D52" i="1"/>
  <c r="D82" i="1"/>
  <c r="D275" i="1"/>
  <c r="D84" i="1"/>
  <c r="D227" i="1"/>
  <c r="D158" i="1"/>
  <c r="D135" i="1"/>
  <c r="D120" i="1"/>
  <c r="D99" i="1"/>
  <c r="D253" i="1"/>
  <c r="D170" i="1"/>
  <c r="D265" i="1"/>
  <c r="D103" i="1"/>
  <c r="D209" i="1"/>
  <c r="D91" i="1"/>
  <c r="D113" i="1"/>
  <c r="D61" i="1"/>
  <c r="D90" i="1"/>
  <c r="D237" i="1"/>
  <c r="D81" i="1"/>
  <c r="D13" i="1"/>
  <c r="D127" i="1"/>
  <c r="D111" i="1"/>
  <c r="D75" i="1"/>
  <c r="D110" i="1"/>
  <c r="D66" i="1"/>
  <c r="D250" i="1"/>
  <c r="D168" i="1"/>
  <c r="D226" i="1"/>
  <c r="D131" i="1"/>
  <c r="D283" i="1"/>
  <c r="D302" i="1"/>
  <c r="D30" i="1"/>
  <c r="D71" i="1"/>
  <c r="D295" i="1"/>
  <c r="D276" i="1"/>
  <c r="D19" i="1"/>
  <c r="D287" i="1"/>
  <c r="D216" i="1"/>
  <c r="D122" i="1"/>
  <c r="D248" i="1"/>
  <c r="D244" i="1"/>
  <c r="D213" i="1"/>
  <c r="D246" i="1"/>
  <c r="D148" i="1"/>
  <c r="D26" i="1"/>
  <c r="D177" i="1"/>
  <c r="D301" i="1"/>
  <c r="D252" i="1"/>
  <c r="D261" i="1"/>
  <c r="D49" i="1"/>
  <c r="D32" i="1"/>
  <c r="D247" i="1"/>
  <c r="D164" i="1"/>
  <c r="D257" i="1"/>
  <c r="D160" i="1"/>
  <c r="D259" i="1"/>
  <c r="D243" i="1"/>
  <c r="D193" i="1"/>
  <c r="D278" i="1"/>
  <c r="D46" i="1"/>
  <c r="D156" i="1"/>
  <c r="AO156" i="1" s="1"/>
  <c r="D146" i="1"/>
  <c r="D200" i="1"/>
  <c r="D89" i="1"/>
  <c r="D141" i="1"/>
  <c r="D234" i="1"/>
  <c r="D207" i="1"/>
  <c r="D260" i="1"/>
  <c r="D132" i="1"/>
  <c r="D154" i="1"/>
  <c r="D212" i="1"/>
  <c r="D151" i="1"/>
  <c r="D116" i="1"/>
  <c r="D185" i="1"/>
  <c r="D218" i="1"/>
  <c r="D92" i="1"/>
  <c r="D138" i="1"/>
  <c r="D183" i="1"/>
  <c r="D157" i="1"/>
  <c r="D215" i="1"/>
  <c r="D169" i="1"/>
  <c r="D137" i="1"/>
  <c r="D118" i="1"/>
  <c r="D57" i="1"/>
  <c r="D304" i="1"/>
  <c r="D55" i="1"/>
  <c r="D279" i="1"/>
  <c r="D235" i="1"/>
  <c r="D129" i="1"/>
  <c r="D93" i="1"/>
  <c r="AO93" i="1" s="1"/>
  <c r="D219" i="1"/>
  <c r="D41" i="1"/>
  <c r="D62" i="1"/>
  <c r="D306" i="1"/>
  <c r="D97" i="1"/>
  <c r="D241" i="1"/>
  <c r="D149" i="1"/>
  <c r="D121" i="1"/>
  <c r="D254" i="1"/>
  <c r="D303" i="1"/>
  <c r="D280" i="1"/>
  <c r="D72" i="1"/>
  <c r="D107" i="1"/>
  <c r="D203" i="1"/>
  <c r="D134" i="1"/>
  <c r="D20" i="1"/>
  <c r="D264" i="1"/>
  <c r="D233" i="1"/>
  <c r="D63" i="1"/>
  <c r="D201" i="1"/>
  <c r="D310" i="1"/>
  <c r="D144" i="1"/>
  <c r="D230" i="1"/>
  <c r="D27" i="1"/>
  <c r="D273" i="1"/>
  <c r="D59" i="1"/>
  <c r="D269" i="1"/>
  <c r="D305" i="1"/>
  <c r="D24" i="1"/>
  <c r="D39" i="1"/>
  <c r="D139" i="1"/>
  <c r="D105" i="1"/>
  <c r="D108" i="1"/>
  <c r="D101" i="1"/>
  <c r="D136" i="1"/>
  <c r="D40" i="1"/>
  <c r="D211" i="1"/>
  <c r="D195" i="1"/>
  <c r="D83" i="1"/>
  <c r="D281" i="1"/>
  <c r="D288" i="1"/>
  <c r="D87" i="1"/>
  <c r="D12" i="1"/>
  <c r="D28" i="1"/>
  <c r="D255" i="1"/>
  <c r="D124" i="1"/>
  <c r="D128" i="1"/>
  <c r="D299" i="1"/>
  <c r="D229" i="1"/>
  <c r="D298" i="1"/>
  <c r="D197" i="1"/>
  <c r="D308" i="1"/>
  <c r="D220" i="1"/>
  <c r="D268" i="1"/>
  <c r="D240" i="1"/>
  <c r="D109" i="1"/>
  <c r="D51" i="1"/>
  <c r="D249" i="1"/>
  <c r="D217" i="1"/>
  <c r="D286" i="1"/>
  <c r="D60" i="1"/>
  <c r="D45" i="1"/>
  <c r="D70" i="1"/>
  <c r="D175" i="1"/>
  <c r="D17" i="1"/>
  <c r="D33" i="1"/>
  <c r="D210" i="1"/>
  <c r="D130" i="1"/>
  <c r="D258" i="1"/>
  <c r="D205" i="1"/>
  <c r="D223" i="1"/>
  <c r="D56" i="1"/>
  <c r="D181" i="1"/>
  <c r="D239" i="1"/>
  <c r="D159" i="1"/>
  <c r="D196" i="1"/>
  <c r="D272" i="1"/>
  <c r="D178" i="1"/>
  <c r="D106" i="1"/>
  <c r="D43" i="1"/>
  <c r="D165" i="1"/>
  <c r="D188" i="1"/>
  <c r="D172" i="1"/>
  <c r="D189" i="1"/>
  <c r="D79" i="1"/>
  <c r="D112" i="1"/>
  <c r="D119" i="1"/>
  <c r="D263" i="1"/>
  <c r="D69" i="1"/>
  <c r="D225" i="1"/>
  <c r="D161" i="1"/>
  <c r="D34" i="1"/>
  <c r="D21" i="1"/>
  <c r="D98" i="1"/>
  <c r="D143" i="1"/>
  <c r="D123" i="1"/>
  <c r="D262" i="1"/>
  <c r="D194" i="1"/>
  <c r="D68" i="1"/>
  <c r="D171" i="1"/>
  <c r="D85" i="1"/>
  <c r="D206" i="1"/>
  <c r="D140" i="1"/>
  <c r="D266" i="1"/>
  <c r="D38" i="1"/>
  <c r="D86" i="1"/>
  <c r="D58" i="1"/>
  <c r="D242" i="1"/>
  <c r="D67" i="1"/>
  <c r="D162" i="1"/>
  <c r="D44" i="1"/>
  <c r="D16" i="1"/>
  <c r="D202" i="1"/>
  <c r="D153" i="1"/>
  <c r="D145" i="1"/>
  <c r="D73" i="1"/>
  <c r="D47" i="1"/>
  <c r="D18" i="1"/>
  <c r="D182" i="1"/>
  <c r="D297" i="1"/>
  <c r="D231" i="1"/>
  <c r="D190" i="1"/>
  <c r="D115" i="1"/>
  <c r="D29" i="1"/>
  <c r="D289" i="1"/>
  <c r="D147" i="1"/>
  <c r="D42" i="1"/>
  <c r="D95" i="1"/>
  <c r="D180" i="1"/>
  <c r="D184" i="1"/>
  <c r="D290" i="1"/>
  <c r="D96" i="1"/>
  <c r="D117" i="1"/>
  <c r="D126" i="1"/>
  <c r="D221" i="1"/>
  <c r="D238" i="1"/>
  <c r="D296" i="1"/>
  <c r="D78" i="1"/>
  <c r="D192" i="1"/>
  <c r="D142" i="1"/>
  <c r="D274" i="1"/>
  <c r="D267" i="1"/>
  <c r="D174" i="1"/>
  <c r="D23" i="1"/>
  <c r="D173" i="1"/>
  <c r="D94" i="1"/>
  <c r="D204" i="1"/>
  <c r="D245" i="1"/>
  <c r="D179" i="1"/>
  <c r="D294" i="1"/>
  <c r="D251" i="1"/>
  <c r="D282" i="1"/>
  <c r="D291" i="1"/>
  <c r="D285" i="1"/>
  <c r="D300" i="1"/>
  <c r="D150" i="1"/>
  <c r="D166" i="1"/>
  <c r="D309" i="1"/>
  <c r="D22" i="1"/>
  <c r="D36" i="1"/>
  <c r="D104" i="1"/>
  <c r="D236" i="1"/>
  <c r="D232" i="1"/>
  <c r="D293" i="1"/>
  <c r="D163" i="1"/>
  <c r="D65" i="1"/>
  <c r="D307" i="1"/>
  <c r="D102" i="1"/>
  <c r="D214" i="1"/>
  <c r="D125" i="1"/>
  <c r="D133" i="1"/>
  <c r="D64" i="1"/>
  <c r="D198" i="1"/>
  <c r="D224" i="1"/>
  <c r="D88" i="1"/>
  <c r="D167" i="1"/>
  <c r="D208" i="1"/>
  <c r="D277" i="1"/>
  <c r="D270" i="1"/>
  <c r="D31" i="1"/>
  <c r="D11" i="1"/>
  <c r="D271" i="1"/>
  <c r="D54" i="1"/>
  <c r="D76" i="1"/>
  <c r="D35" i="1"/>
  <c r="D50" i="1"/>
  <c r="D100" i="1"/>
  <c r="D80" i="1"/>
  <c r="D74" i="1"/>
  <c r="D176" i="1"/>
  <c r="D199" i="1"/>
  <c r="D14" i="1"/>
  <c r="D191" i="1"/>
  <c r="D187" i="1"/>
  <c r="D228" i="1"/>
  <c r="D284" i="1"/>
  <c r="D48" i="1"/>
  <c r="D114" i="1"/>
  <c r="D53" i="1"/>
  <c r="D37" i="1"/>
  <c r="D186" i="1"/>
  <c r="D256" i="1"/>
  <c r="D155" i="1"/>
  <c r="D25" i="1"/>
  <c r="D15" i="1"/>
  <c r="D77" i="1"/>
  <c r="D222" i="1"/>
  <c r="AK292" i="1"/>
  <c r="AK275" i="1"/>
  <c r="AK253" i="1"/>
  <c r="AK265" i="1"/>
  <c r="AK250" i="1"/>
  <c r="AK283" i="1"/>
  <c r="AK302" i="1"/>
  <c r="AK295" i="1"/>
  <c r="AK276" i="1"/>
  <c r="AD89" i="1"/>
  <c r="AD217" i="1"/>
  <c r="AD198" i="1"/>
  <c r="AD66" i="1"/>
  <c r="AD101" i="1"/>
  <c r="AD215" i="1"/>
  <c r="AD267" i="1"/>
  <c r="AD43" i="1"/>
  <c r="AD178" i="1"/>
  <c r="AD59" i="1"/>
  <c r="AD186" i="1"/>
  <c r="AD303" i="1"/>
  <c r="AD39" i="1"/>
  <c r="AD196" i="1"/>
  <c r="AD40" i="1"/>
  <c r="AD284" i="1"/>
  <c r="AD266" i="1"/>
  <c r="AD204" i="1"/>
  <c r="AD48" i="1"/>
  <c r="AD85" i="1"/>
  <c r="AD236" i="1"/>
  <c r="AD121" i="1"/>
  <c r="AD263" i="1"/>
  <c r="AD60" i="1"/>
  <c r="AD35" i="1"/>
  <c r="AD277" i="1"/>
  <c r="AD245" i="1"/>
  <c r="AD102" i="1"/>
  <c r="AD177" i="1"/>
  <c r="AD139" i="1"/>
  <c r="AD155" i="1"/>
  <c r="AD51" i="1"/>
  <c r="AD63" i="1"/>
  <c r="AD137" i="1"/>
  <c r="AD32" i="1"/>
  <c r="AD235" i="1"/>
  <c r="AD57" i="1"/>
  <c r="AK72" i="1"/>
  <c r="AK112" i="1"/>
  <c r="AK119" i="1"/>
  <c r="AK203" i="1"/>
  <c r="AK216" i="1"/>
  <c r="AK40" i="1"/>
  <c r="AK34" i="1"/>
  <c r="AK214" i="1"/>
  <c r="AK125" i="1"/>
  <c r="AK218" i="1"/>
  <c r="AK233" i="1"/>
  <c r="AK194" i="1"/>
  <c r="AK68" i="1"/>
  <c r="AK56" i="1"/>
  <c r="AK113" i="1"/>
  <c r="AK137" i="1"/>
  <c r="AK155" i="1"/>
  <c r="AK177" i="1"/>
  <c r="AK230" i="1"/>
  <c r="AK156" i="1"/>
  <c r="AK235" i="1"/>
  <c r="AK240" i="1"/>
  <c r="AK146" i="1"/>
  <c r="AK59" i="1"/>
  <c r="AK217" i="1"/>
  <c r="AK32" i="1"/>
  <c r="AK14" i="1"/>
  <c r="AK30" i="1"/>
  <c r="AK71" i="1"/>
  <c r="AK22" i="1"/>
  <c r="AK35" i="1"/>
  <c r="AK51" i="1"/>
  <c r="AK80" i="1"/>
  <c r="AK188" i="1"/>
  <c r="AK199" i="1"/>
  <c r="AK70" i="1"/>
  <c r="AK175" i="1"/>
  <c r="AK228" i="1"/>
  <c r="AK164" i="1"/>
  <c r="AK165" i="1"/>
  <c r="AK77" i="1"/>
  <c r="AK222" i="1"/>
  <c r="AK260" i="1"/>
  <c r="AK304" i="1"/>
  <c r="AK279" i="1"/>
  <c r="AK306" i="1"/>
  <c r="AK254" i="1"/>
  <c r="AK303" i="1"/>
  <c r="AK280" i="1"/>
  <c r="AD257" i="1"/>
  <c r="AD227" i="1"/>
  <c r="AD145" i="1"/>
  <c r="AD90" i="1"/>
  <c r="AD250" i="1"/>
  <c r="AD201" i="1"/>
  <c r="AD149" i="1"/>
  <c r="AD61" i="1"/>
  <c r="AD205" i="1"/>
  <c r="AD249" i="1"/>
  <c r="AD214" i="1"/>
  <c r="AD71" i="1"/>
  <c r="AD127" i="1"/>
  <c r="AD195" i="1"/>
  <c r="AD221" i="1"/>
  <c r="AD158" i="1"/>
  <c r="AD294" i="1"/>
  <c r="AD247" i="1"/>
  <c r="AD242" i="1"/>
  <c r="AD290" i="1"/>
  <c r="AD240" i="1"/>
  <c r="AD109" i="1"/>
  <c r="AD211" i="1"/>
  <c r="AD25" i="1"/>
  <c r="AD138" i="1"/>
  <c r="AD24" i="1"/>
  <c r="AD307" i="1"/>
  <c r="AD97" i="1"/>
  <c r="AD115" i="1"/>
  <c r="AD154" i="1"/>
  <c r="AD110" i="1"/>
  <c r="AD296" i="1"/>
  <c r="AD28" i="1"/>
  <c r="AD309" i="1"/>
  <c r="AD135" i="1"/>
  <c r="AD288" i="1"/>
  <c r="AD144" i="1"/>
  <c r="AK190" i="1"/>
  <c r="AK104" i="1"/>
  <c r="AK210" i="1"/>
  <c r="AK82" i="1"/>
  <c r="AK42" i="1"/>
  <c r="AK95" i="1"/>
  <c r="AK53" i="1"/>
  <c r="AK135" i="1"/>
  <c r="AK116" i="1"/>
  <c r="AK185" i="1"/>
  <c r="AK126" i="1"/>
  <c r="AK198" i="1"/>
  <c r="AK193" i="1"/>
  <c r="AK157" i="1"/>
  <c r="AK201" i="1"/>
  <c r="AK128" i="1"/>
  <c r="AK90" i="1"/>
  <c r="AK144" i="1"/>
  <c r="AK23" i="1"/>
  <c r="AK242" i="1"/>
  <c r="AK204" i="1"/>
  <c r="AK93" i="1"/>
  <c r="AK172" i="1"/>
  <c r="AK196" i="1"/>
  <c r="AD234" i="1"/>
  <c r="AD228" i="1"/>
  <c r="AD165" i="1"/>
  <c r="AK114" i="1"/>
  <c r="AK134" i="1"/>
  <c r="AK92" i="1"/>
  <c r="AK208" i="1"/>
  <c r="AK55" i="1"/>
  <c r="AK97" i="1"/>
  <c r="AK178" i="1"/>
  <c r="AK293" i="1"/>
  <c r="AK284" i="1"/>
  <c r="AK287" i="1"/>
  <c r="AK264" i="1"/>
  <c r="AK310" i="1"/>
  <c r="AK301" i="1"/>
  <c r="AK252" i="1"/>
  <c r="AK273" i="1"/>
  <c r="AK261" i="1"/>
  <c r="AK269" i="1"/>
  <c r="AK305" i="1"/>
  <c r="AD203" i="1"/>
  <c r="AD111" i="1"/>
  <c r="AD92" i="1"/>
  <c r="AD280" i="1"/>
  <c r="AD26" i="1"/>
  <c r="AD246" i="1"/>
  <c r="AD126" i="1"/>
  <c r="AD162" i="1"/>
  <c r="AD289" i="1"/>
  <c r="AD172" i="1"/>
  <c r="AD151" i="1"/>
  <c r="AD113" i="1"/>
  <c r="AD164" i="1"/>
  <c r="AD46" i="1"/>
  <c r="AD104" i="1"/>
  <c r="AD13" i="1"/>
  <c r="AD175" i="1"/>
  <c r="AD209" i="1"/>
  <c r="AD265" i="1"/>
  <c r="AD94" i="1"/>
  <c r="AD141" i="1"/>
  <c r="AD70" i="1"/>
  <c r="AD238" i="1"/>
  <c r="AD38" i="1"/>
  <c r="AD91" i="1"/>
  <c r="AD224" i="1"/>
  <c r="AD44" i="1"/>
  <c r="AD176" i="1"/>
  <c r="AD69" i="1"/>
  <c r="AD225" i="1"/>
  <c r="AD233" i="1"/>
  <c r="AD53" i="1"/>
  <c r="AD17" i="1"/>
  <c r="AD86" i="1"/>
  <c r="AD187" i="1"/>
  <c r="AD171" i="1"/>
  <c r="AD241" i="1"/>
  <c r="AD108" i="1"/>
  <c r="AK152" i="1"/>
  <c r="AK19" i="1"/>
  <c r="AK107" i="1"/>
  <c r="AK147" i="1"/>
  <c r="AK84" i="1"/>
  <c r="AK154" i="1"/>
  <c r="AK122" i="1"/>
  <c r="AK195" i="1"/>
  <c r="AK98" i="1"/>
  <c r="AK133" i="1"/>
  <c r="AK170" i="1"/>
  <c r="AK213" i="1"/>
  <c r="AK63" i="1"/>
  <c r="AK78" i="1"/>
  <c r="AK192" i="1"/>
  <c r="AK43" i="1"/>
  <c r="AK229" i="1"/>
  <c r="AK46" i="1"/>
  <c r="AK13" i="1"/>
  <c r="AK25" i="1"/>
  <c r="AK75" i="1"/>
  <c r="AK179" i="1"/>
  <c r="AK15" i="1"/>
  <c r="AK62" i="1"/>
  <c r="AK176" i="1"/>
  <c r="AK45" i="1"/>
  <c r="AK191" i="1"/>
  <c r="AK187" i="1"/>
  <c r="AK33" i="1"/>
  <c r="AK127" i="1"/>
  <c r="AK66" i="1"/>
  <c r="AK153" i="1"/>
  <c r="AK60" i="1"/>
  <c r="AK149" i="1"/>
  <c r="AK121" i="1"/>
  <c r="AK18" i="1"/>
  <c r="AD87" i="1"/>
  <c r="AD54" i="1"/>
  <c r="AD142" i="1"/>
  <c r="AD305" i="1"/>
  <c r="AD30" i="1"/>
  <c r="AD278" i="1"/>
  <c r="AD73" i="1"/>
  <c r="AD264" i="1"/>
  <c r="AD193" i="1"/>
  <c r="AD100" i="1"/>
  <c r="AD260" i="1"/>
  <c r="AD140" i="1"/>
  <c r="AD128" i="1"/>
  <c r="AD308" i="1"/>
  <c r="AD251" i="1"/>
  <c r="AK89" i="1"/>
  <c r="AK105" i="1"/>
  <c r="AK21" i="1"/>
  <c r="AK243" i="1"/>
  <c r="AK167" i="1"/>
  <c r="AK81" i="1"/>
  <c r="AK111" i="1"/>
  <c r="AK41" i="1"/>
  <c r="AK47" i="1"/>
  <c r="AK200" i="1"/>
  <c r="AK231" i="1"/>
  <c r="AK277" i="1"/>
  <c r="AK270" i="1"/>
  <c r="AD255" i="1"/>
  <c r="AK257" i="1"/>
  <c r="AK281" i="1"/>
  <c r="AK288" i="1"/>
  <c r="AK255" i="1"/>
  <c r="AK299" i="1"/>
  <c r="AK298" i="1"/>
  <c r="AK308" i="1"/>
  <c r="AK268" i="1"/>
  <c r="AK286" i="1"/>
  <c r="AD15" i="1"/>
  <c r="AD216" i="1"/>
  <c r="AD23" i="1"/>
  <c r="AD96" i="1"/>
  <c r="AD99" i="1"/>
  <c r="AD152" i="1"/>
  <c r="AD67" i="1"/>
  <c r="AD18" i="1"/>
  <c r="AD237" i="1"/>
  <c r="AD174" i="1"/>
  <c r="AD84" i="1"/>
  <c r="AD134" i="1"/>
  <c r="AD275" i="1"/>
  <c r="AD42" i="1"/>
  <c r="AD268" i="1"/>
  <c r="AD107" i="1"/>
  <c r="AD82" i="1"/>
  <c r="AD143" i="1"/>
  <c r="AD299" i="1"/>
  <c r="AD167" i="1"/>
  <c r="AD259" i="1"/>
  <c r="AD269" i="1"/>
  <c r="AD212" i="1"/>
  <c r="AD293" i="1"/>
  <c r="AD123" i="1"/>
  <c r="AD287" i="1"/>
  <c r="AD103" i="1"/>
  <c r="AD33" i="1"/>
  <c r="AD133" i="1"/>
  <c r="AD62" i="1"/>
  <c r="AD37" i="1"/>
  <c r="AD93" i="1"/>
  <c r="AD22" i="1"/>
  <c r="AD272" i="1"/>
  <c r="AD271" i="1"/>
  <c r="AD78" i="1"/>
  <c r="AD160" i="1"/>
  <c r="AD231" i="1"/>
  <c r="AK79" i="1"/>
  <c r="AK29" i="1"/>
  <c r="AK232" i="1"/>
  <c r="AK101" i="1"/>
  <c r="AK136" i="1"/>
  <c r="AK161" i="1"/>
  <c r="AK184" i="1"/>
  <c r="AK37" i="1"/>
  <c r="AK205" i="1"/>
  <c r="AK244" i="1"/>
  <c r="AK87" i="1"/>
  <c r="AK238" i="1"/>
  <c r="AK88" i="1"/>
  <c r="AK91" i="1"/>
  <c r="AK169" i="1"/>
  <c r="AK140" i="1"/>
  <c r="AK237" i="1"/>
  <c r="AK197" i="1"/>
  <c r="AK58" i="1"/>
  <c r="AK27" i="1"/>
  <c r="AK162" i="1"/>
  <c r="AK249" i="1"/>
  <c r="AK16" i="1"/>
  <c r="AK182" i="1"/>
  <c r="AK289" i="1"/>
  <c r="AK290" i="1"/>
  <c r="AK296" i="1"/>
  <c r="AK274" i="1"/>
  <c r="AK294" i="1"/>
  <c r="AK282" i="1"/>
  <c r="AK291" i="1"/>
  <c r="AK300" i="1"/>
  <c r="AD41" i="1"/>
  <c r="AD50" i="1"/>
  <c r="AD192" i="1"/>
  <c r="AD173" i="1"/>
  <c r="AD218" i="1"/>
  <c r="AD122" i="1"/>
  <c r="AD282" i="1"/>
  <c r="AD21" i="1"/>
  <c r="AD49" i="1"/>
  <c r="AD148" i="1"/>
  <c r="AK132" i="1"/>
  <c r="AK96" i="1"/>
  <c r="AK28" i="1"/>
  <c r="AK31" i="1"/>
  <c r="AK50" i="1"/>
  <c r="AK49" i="1"/>
  <c r="AK307" i="1"/>
  <c r="AK271" i="1"/>
  <c r="AK263" i="1"/>
  <c r="AK262" i="1"/>
  <c r="AK266" i="1"/>
  <c r="AK297" i="1"/>
  <c r="AD301" i="1"/>
  <c r="AD168" i="1"/>
  <c r="AD112" i="1"/>
  <c r="AD207" i="1"/>
  <c r="AD185" i="1"/>
  <c r="AD130" i="1"/>
  <c r="AD47" i="1"/>
  <c r="AD286" i="1"/>
  <c r="AD273" i="1"/>
  <c r="AD274" i="1"/>
  <c r="AD20" i="1"/>
  <c r="AD180" i="1"/>
  <c r="AD150" i="1"/>
  <c r="AD163" i="1"/>
  <c r="AD170" i="1"/>
  <c r="AD55" i="1"/>
  <c r="AD166" i="1"/>
  <c r="AD117" i="1"/>
  <c r="AD254" i="1"/>
  <c r="AD304" i="1"/>
  <c r="AD14" i="1"/>
  <c r="AD206" i="1"/>
  <c r="AD179" i="1"/>
  <c r="AD34" i="1"/>
  <c r="AD208" i="1"/>
  <c r="AD181" i="1"/>
  <c r="AD156" i="1"/>
  <c r="AD106" i="1"/>
  <c r="AD243" i="1"/>
  <c r="AD124" i="1"/>
  <c r="AD11" i="1"/>
  <c r="AD232" i="1"/>
  <c r="AD184" i="1"/>
  <c r="AD129" i="1"/>
  <c r="AD229" i="1"/>
  <c r="AD72" i="1"/>
  <c r="AD210" i="1"/>
  <c r="AD88" i="1"/>
  <c r="AK36" i="1"/>
  <c r="AK160" i="1"/>
  <c r="AK52" i="1"/>
  <c r="AK207" i="1"/>
  <c r="AK163" i="1"/>
  <c r="AK65" i="1"/>
  <c r="AK158" i="1"/>
  <c r="AK151" i="1"/>
  <c r="AK248" i="1"/>
  <c r="AK143" i="1"/>
  <c r="AK64" i="1"/>
  <c r="AK223" i="1"/>
  <c r="AK103" i="1"/>
  <c r="AK246" i="1"/>
  <c r="AK124" i="1"/>
  <c r="AK206" i="1"/>
  <c r="AK118" i="1"/>
  <c r="AK38" i="1"/>
  <c r="AK11" i="1"/>
  <c r="AK94" i="1"/>
  <c r="AK76" i="1"/>
  <c r="AK109" i="1"/>
  <c r="AK226" i="1"/>
  <c r="AK267" i="1"/>
  <c r="AK251" i="1"/>
  <c r="AK285" i="1"/>
  <c r="AK309" i="1"/>
  <c r="AD197" i="1"/>
  <c r="AD114" i="1"/>
  <c r="AD310" i="1"/>
  <c r="AD213" i="1"/>
  <c r="AD119" i="1"/>
  <c r="AD77" i="1"/>
  <c r="AD29" i="1"/>
  <c r="AD285" i="1"/>
  <c r="AD297" i="1"/>
  <c r="AK139" i="1"/>
  <c r="AK211" i="1"/>
  <c r="AK12" i="1"/>
  <c r="AK61" i="1"/>
  <c r="AK129" i="1"/>
  <c r="AK259" i="1"/>
  <c r="AK258" i="1"/>
  <c r="AK256" i="1"/>
  <c r="AK278" i="1"/>
  <c r="AK272" i="1"/>
  <c r="AD125" i="1"/>
  <c r="AD191" i="1"/>
  <c r="AD276" i="1"/>
  <c r="AD83" i="1"/>
  <c r="AD136" i="1"/>
  <c r="AD281" i="1"/>
  <c r="AD261" i="1"/>
  <c r="AD146" i="1"/>
  <c r="AD132" i="1"/>
  <c r="AK106" i="1"/>
  <c r="AK102" i="1"/>
  <c r="AK221" i="1"/>
  <c r="AK148" i="1"/>
  <c r="AK173" i="1"/>
  <c r="AK67" i="1"/>
  <c r="AK73" i="1"/>
  <c r="AK241" i="1"/>
  <c r="AD298" i="1"/>
  <c r="AD291" i="1"/>
  <c r="AD182" i="1"/>
  <c r="AD12" i="1"/>
  <c r="AD45" i="1"/>
  <c r="AD220" i="1"/>
  <c r="AD256" i="1"/>
  <c r="AD219" i="1"/>
  <c r="AD79" i="1"/>
  <c r="AK48" i="1"/>
  <c r="AK130" i="1"/>
  <c r="AK83" i="1"/>
  <c r="AK183" i="1"/>
  <c r="AK26" i="1"/>
  <c r="AK110" i="1"/>
  <c r="AK100" i="1"/>
  <c r="AK150" i="1"/>
  <c r="AD279" i="1"/>
  <c r="AD105" i="1"/>
  <c r="AK85" i="1"/>
  <c r="AK145" i="1"/>
  <c r="AK138" i="1"/>
  <c r="AD16" i="1"/>
  <c r="AD98" i="1"/>
  <c r="AD194" i="1"/>
  <c r="AD295" i="1"/>
  <c r="AD75" i="1"/>
  <c r="AD262" i="1"/>
  <c r="AD202" i="1"/>
  <c r="AD306" i="1"/>
  <c r="AD200" i="1"/>
  <c r="AK189" i="1"/>
  <c r="AK69" i="1"/>
  <c r="AK120" i="1"/>
  <c r="AK224" i="1"/>
  <c r="AK181" i="1"/>
  <c r="AK245" i="1"/>
  <c r="AK219" i="1"/>
  <c r="AK247" i="1"/>
  <c r="AK166" i="1"/>
  <c r="AD64" i="1"/>
  <c r="AD27" i="1"/>
  <c r="AD153" i="1"/>
  <c r="AK234" i="1"/>
  <c r="AK239" i="1"/>
  <c r="AK20" i="1"/>
  <c r="AK44" i="1"/>
  <c r="AD81" i="1"/>
  <c r="AD189" i="1"/>
  <c r="AD270" i="1"/>
  <c r="AD118" i="1"/>
  <c r="AD147" i="1"/>
  <c r="AD169" i="1"/>
  <c r="AD52" i="1"/>
  <c r="AD80" i="1"/>
  <c r="AD58" i="1"/>
  <c r="AD230" i="1"/>
  <c r="AK141" i="1"/>
  <c r="AK227" i="1"/>
  <c r="AK117" i="1"/>
  <c r="AK171" i="1"/>
  <c r="AK174" i="1"/>
  <c r="AK168" i="1"/>
  <c r="AD199" i="1"/>
  <c r="AD252" i="1"/>
  <c r="AK212" i="1"/>
  <c r="AK54" i="1"/>
  <c r="AK142" i="1"/>
  <c r="AD95" i="1"/>
  <c r="AD253" i="1"/>
  <c r="AD68" i="1"/>
  <c r="AD244" i="1"/>
  <c r="AD56" i="1"/>
  <c r="AD248" i="1"/>
  <c r="AD74" i="1"/>
  <c r="AD300" i="1"/>
  <c r="AD239" i="1"/>
  <c r="AK115" i="1"/>
  <c r="AK225" i="1"/>
  <c r="AK99" i="1"/>
  <c r="AK209" i="1"/>
  <c r="AK57" i="1"/>
  <c r="AK202" i="1"/>
  <c r="AK24" i="1"/>
  <c r="AD283" i="1"/>
  <c r="AD223" i="1"/>
  <c r="AK186" i="1"/>
  <c r="AK39" i="1"/>
  <c r="AD226" i="1"/>
  <c r="AD76" i="1"/>
  <c r="AD292" i="1"/>
  <c r="AD302" i="1"/>
  <c r="AD190" i="1"/>
  <c r="AD222" i="1"/>
  <c r="AD19" i="1"/>
  <c r="AD116" i="1"/>
  <c r="AD157" i="1"/>
  <c r="AK236" i="1"/>
  <c r="AK180" i="1"/>
  <c r="AK123" i="1"/>
  <c r="AK215" i="1"/>
  <c r="AK86" i="1"/>
  <c r="AK220" i="1"/>
  <c r="AK74" i="1"/>
  <c r="AK17" i="1"/>
  <c r="AD161" i="1"/>
  <c r="AD159" i="1"/>
  <c r="AD65" i="1"/>
  <c r="AD188" i="1"/>
  <c r="AD36" i="1"/>
  <c r="AD183" i="1"/>
  <c r="AD120" i="1"/>
  <c r="AD31" i="1"/>
  <c r="AD258" i="1"/>
  <c r="BB56" i="1"/>
  <c r="AK108" i="1"/>
  <c r="AK159" i="1"/>
  <c r="BB22" i="1"/>
  <c r="BB33" i="1"/>
  <c r="BB75" i="1"/>
  <c r="BB79" i="1"/>
  <c r="BB88" i="1"/>
  <c r="BB52" i="1"/>
  <c r="BB16" i="1"/>
  <c r="BB51" i="1"/>
  <c r="BB57" i="1"/>
  <c r="BB46" i="1"/>
  <c r="BB81" i="1"/>
  <c r="BB68" i="1"/>
  <c r="BB11" i="1"/>
  <c r="BB21" i="1"/>
  <c r="BB84" i="1"/>
  <c r="BB35" i="1"/>
  <c r="BB43" i="1"/>
  <c r="BB41" i="1"/>
  <c r="BB15" i="1"/>
  <c r="BB47" i="1"/>
  <c r="BB48" i="1"/>
  <c r="BB25" i="1"/>
  <c r="BB54" i="1"/>
  <c r="BB14" i="1"/>
  <c r="BB36" i="1"/>
  <c r="BB61" i="1"/>
  <c r="BB70" i="1"/>
  <c r="BB13" i="1"/>
  <c r="BB76" i="1"/>
  <c r="BB24" i="1"/>
  <c r="BB42" i="1"/>
  <c r="BB39" i="1"/>
  <c r="BB34" i="1"/>
  <c r="BB80" i="1"/>
  <c r="BB89" i="1"/>
  <c r="BB86" i="1"/>
  <c r="BB28" i="1"/>
  <c r="BB29" i="1"/>
  <c r="BB63" i="1"/>
  <c r="BB30" i="1"/>
  <c r="BB62" i="1"/>
  <c r="BB73" i="1"/>
  <c r="BB67" i="1"/>
  <c r="BB69" i="1"/>
  <c r="BB55" i="1"/>
  <c r="BB82" i="1"/>
  <c r="BB71" i="1"/>
  <c r="BB60" i="1"/>
  <c r="BB77" i="1"/>
  <c r="BB23" i="1"/>
  <c r="BB58" i="1"/>
  <c r="BB72" i="1"/>
  <c r="BB50" i="1"/>
  <c r="BB83" i="1"/>
  <c r="BB17" i="1"/>
  <c r="BB44" i="1"/>
  <c r="BB20" i="1"/>
  <c r="BB12" i="1"/>
  <c r="BB31" i="1"/>
  <c r="BB38" i="1"/>
  <c r="BB64" i="1"/>
  <c r="BB78" i="1"/>
  <c r="BB49" i="1"/>
  <c r="BB66" i="1"/>
  <c r="BB87" i="1"/>
  <c r="BB53" i="1"/>
  <c r="BB26" i="1"/>
  <c r="BB74" i="1"/>
  <c r="BB27" i="1"/>
  <c r="BB19" i="1"/>
  <c r="BB59" i="1"/>
  <c r="BB45" i="1"/>
  <c r="BB40" i="1"/>
  <c r="BB85" i="1"/>
  <c r="BB65" i="1"/>
  <c r="BB37" i="1"/>
  <c r="BB32" i="1"/>
  <c r="BB18" i="1"/>
  <c r="AO152" i="1"/>
  <c r="AL152" i="1"/>
  <c r="AL52" i="1"/>
  <c r="AO52" i="1"/>
  <c r="AL82" i="1"/>
  <c r="AO82" i="1"/>
  <c r="AO84" i="1"/>
  <c r="AL84" i="1"/>
  <c r="AL227" i="1"/>
  <c r="AO227" i="1"/>
  <c r="AO158" i="1"/>
  <c r="AL158" i="1"/>
  <c r="AL135" i="1"/>
  <c r="AO135" i="1"/>
  <c r="AO120" i="1"/>
  <c r="AL120" i="1"/>
  <c r="AL99" i="1"/>
  <c r="AO99" i="1"/>
  <c r="AO170" i="1"/>
  <c r="AL170" i="1"/>
  <c r="AL103" i="1"/>
  <c r="AO103" i="1"/>
  <c r="AO209" i="1"/>
  <c r="AL209" i="1"/>
  <c r="AL91" i="1"/>
  <c r="AO91" i="1"/>
  <c r="AO113" i="1"/>
  <c r="AL113" i="1"/>
  <c r="AL61" i="1"/>
  <c r="AO61" i="1"/>
  <c r="AL90" i="1"/>
  <c r="AO90" i="1"/>
  <c r="AL237" i="1"/>
  <c r="AO237" i="1"/>
  <c r="AL81" i="1"/>
  <c r="AO81" i="1"/>
  <c r="AL13" i="1"/>
  <c r="AO13" i="1"/>
  <c r="AO127" i="1"/>
  <c r="AL127" i="1"/>
  <c r="AL111" i="1"/>
  <c r="AO111" i="1"/>
  <c r="AL75" i="1"/>
  <c r="AO75" i="1"/>
  <c r="AO110" i="1"/>
  <c r="AL110" i="1"/>
  <c r="AO66" i="1"/>
  <c r="AL66" i="1"/>
  <c r="AO168" i="1"/>
  <c r="AL168" i="1"/>
  <c r="AL226" i="1"/>
  <c r="AO226" i="1"/>
  <c r="AL30" i="1"/>
  <c r="AO30" i="1"/>
  <c r="AL71" i="1"/>
  <c r="AO71" i="1"/>
  <c r="AO19" i="1"/>
  <c r="AL19" i="1"/>
  <c r="AL216" i="1"/>
  <c r="AO216" i="1"/>
  <c r="AL122" i="1"/>
  <c r="AO122" i="1"/>
  <c r="AO248" i="1"/>
  <c r="AL248" i="1"/>
  <c r="AL244" i="1"/>
  <c r="AO244" i="1"/>
  <c r="AO213" i="1"/>
  <c r="AL213" i="1"/>
  <c r="AO246" i="1"/>
  <c r="AL246" i="1"/>
  <c r="AO148" i="1"/>
  <c r="AL148" i="1"/>
  <c r="AL26" i="1"/>
  <c r="AO26" i="1"/>
  <c r="AL177" i="1"/>
  <c r="AO177" i="1"/>
  <c r="AL49" i="1"/>
  <c r="AO49" i="1"/>
  <c r="AL32" i="1"/>
  <c r="AO32" i="1"/>
  <c r="AL247" i="1"/>
  <c r="AO247" i="1"/>
  <c r="AO164" i="1"/>
  <c r="AL164" i="1"/>
  <c r="AL160" i="1"/>
  <c r="AO160" i="1"/>
  <c r="AL243" i="1"/>
  <c r="AO243" i="1"/>
  <c r="AL193" i="1"/>
  <c r="AO193" i="1"/>
  <c r="AL46" i="1"/>
  <c r="AO46" i="1"/>
  <c r="AL146" i="1"/>
  <c r="AO146" i="1"/>
  <c r="AL200" i="1"/>
  <c r="AO200" i="1"/>
  <c r="AL89" i="1"/>
  <c r="AO89" i="1"/>
  <c r="AL141" i="1"/>
  <c r="AO141" i="1"/>
  <c r="AL234" i="1"/>
  <c r="AO234" i="1"/>
  <c r="AO207" i="1"/>
  <c r="AL207" i="1"/>
  <c r="AO132" i="1"/>
  <c r="AL132" i="1"/>
  <c r="AO154" i="1"/>
  <c r="AL154" i="1"/>
  <c r="AO212" i="1"/>
  <c r="AL212" i="1"/>
  <c r="AL151" i="1"/>
  <c r="AO151" i="1"/>
  <c r="AL116" i="1"/>
  <c r="AO116" i="1"/>
  <c r="AL185" i="1"/>
  <c r="AO185" i="1"/>
  <c r="AL218" i="1"/>
  <c r="AO218" i="1"/>
  <c r="AL92" i="1"/>
  <c r="AO92" i="1"/>
  <c r="AL138" i="1"/>
  <c r="AO138" i="1"/>
  <c r="AL183" i="1"/>
  <c r="AO183" i="1"/>
  <c r="AO157" i="1"/>
  <c r="AL157" i="1"/>
  <c r="AO215" i="1"/>
  <c r="AL215" i="1"/>
  <c r="AL169" i="1"/>
  <c r="AO169" i="1"/>
  <c r="AL137" i="1"/>
  <c r="AO137" i="1"/>
  <c r="AO118" i="1"/>
  <c r="AL118" i="1"/>
  <c r="AL57" i="1"/>
  <c r="AO57" i="1"/>
  <c r="AL55" i="1"/>
  <c r="AO55" i="1"/>
  <c r="AO235" i="1"/>
  <c r="AL235" i="1"/>
  <c r="AL129" i="1"/>
  <c r="AO129" i="1"/>
  <c r="AL219" i="1"/>
  <c r="AO219" i="1"/>
  <c r="AL41" i="1"/>
  <c r="AO41" i="1"/>
  <c r="AL62" i="1"/>
  <c r="AO62" i="1"/>
  <c r="AL97" i="1"/>
  <c r="AO97" i="1"/>
  <c r="AO241" i="1"/>
  <c r="AL241" i="1"/>
  <c r="AL149" i="1"/>
  <c r="AO149" i="1"/>
  <c r="AL121" i="1"/>
  <c r="AO121" i="1"/>
  <c r="AL72" i="1"/>
  <c r="AO72" i="1"/>
  <c r="AO107" i="1"/>
  <c r="AL107" i="1"/>
  <c r="AL203" i="1"/>
  <c r="AO203" i="1"/>
  <c r="AL134" i="1"/>
  <c r="AO134" i="1"/>
  <c r="AL20" i="1"/>
  <c r="AO20" i="1"/>
  <c r="AL233" i="1"/>
  <c r="AO233" i="1"/>
  <c r="AO63" i="1"/>
  <c r="AL63" i="1"/>
  <c r="AL201" i="1"/>
  <c r="AO201" i="1"/>
  <c r="AO144" i="1"/>
  <c r="AL144" i="1"/>
  <c r="AL230" i="1"/>
  <c r="AO230" i="1"/>
  <c r="AO27" i="1"/>
  <c r="AL27" i="1"/>
  <c r="AL59" i="1"/>
  <c r="AO59" i="1"/>
  <c r="AO24" i="1"/>
  <c r="AL24" i="1"/>
  <c r="AL39" i="1"/>
  <c r="AO39" i="1"/>
  <c r="AO139" i="1"/>
  <c r="AL139" i="1"/>
  <c r="AL105" i="1"/>
  <c r="AO105" i="1"/>
  <c r="AO108" i="1"/>
  <c r="AL108" i="1"/>
  <c r="AL101" i="1"/>
  <c r="AO101" i="1"/>
  <c r="AL136" i="1"/>
  <c r="AO136" i="1"/>
  <c r="AL40" i="1"/>
  <c r="AO40" i="1"/>
  <c r="AO211" i="1"/>
  <c r="AL211" i="1"/>
  <c r="AL195" i="1"/>
  <c r="AO195" i="1"/>
  <c r="AL83" i="1"/>
  <c r="AO83" i="1"/>
  <c r="AL87" i="1"/>
  <c r="AO87" i="1"/>
  <c r="AL12" i="1"/>
  <c r="AO12" i="1"/>
  <c r="AO28" i="1"/>
  <c r="AL28" i="1"/>
  <c r="AL124" i="1"/>
  <c r="AO124" i="1"/>
  <c r="AL128" i="1"/>
  <c r="AO128" i="1"/>
  <c r="AL229" i="1"/>
  <c r="AO229" i="1"/>
  <c r="AL197" i="1"/>
  <c r="AO197" i="1"/>
  <c r="AO220" i="1"/>
  <c r="AL220" i="1"/>
  <c r="AL240" i="1"/>
  <c r="AO240" i="1"/>
  <c r="AL109" i="1"/>
  <c r="AO109" i="1"/>
  <c r="AO51" i="1"/>
  <c r="AL51" i="1"/>
  <c r="AO249" i="1"/>
  <c r="AL249" i="1"/>
  <c r="AL217" i="1"/>
  <c r="AO217" i="1"/>
  <c r="AO60" i="1"/>
  <c r="AL60" i="1"/>
  <c r="AO45" i="1"/>
  <c r="AL45" i="1"/>
  <c r="AL70" i="1"/>
  <c r="AO70" i="1"/>
  <c r="AL175" i="1"/>
  <c r="AO175" i="1"/>
  <c r="AO17" i="1"/>
  <c r="AL17" i="1"/>
  <c r="AO33" i="1"/>
  <c r="AL33" i="1"/>
  <c r="AL210" i="1"/>
  <c r="AO210" i="1"/>
  <c r="AL130" i="1"/>
  <c r="AO130" i="1"/>
  <c r="AO205" i="1"/>
  <c r="AL205" i="1"/>
  <c r="AL223" i="1"/>
  <c r="AO223" i="1"/>
  <c r="AL56" i="1"/>
  <c r="AO56" i="1"/>
  <c r="AL181" i="1"/>
  <c r="AO181" i="1"/>
  <c r="AL239" i="1"/>
  <c r="AO239" i="1"/>
  <c r="AO159" i="1"/>
  <c r="AL159" i="1"/>
  <c r="AL196" i="1"/>
  <c r="AO196" i="1"/>
  <c r="AL178" i="1"/>
  <c r="AO178" i="1"/>
  <c r="AL106" i="1"/>
  <c r="AO106" i="1"/>
  <c r="AO43" i="1"/>
  <c r="AL43" i="1"/>
  <c r="AO165" i="1"/>
  <c r="AL165" i="1"/>
  <c r="AL188" i="1"/>
  <c r="AO188" i="1"/>
  <c r="AO172" i="1"/>
  <c r="AL172" i="1"/>
  <c r="AO189" i="1"/>
  <c r="AL189" i="1"/>
  <c r="AO79" i="1"/>
  <c r="AL79" i="1"/>
  <c r="AL112" i="1"/>
  <c r="AO112" i="1"/>
  <c r="AL119" i="1"/>
  <c r="AO119" i="1"/>
  <c r="AO69" i="1"/>
  <c r="AL69" i="1"/>
  <c r="AO225" i="1"/>
  <c r="AL225" i="1"/>
  <c r="AO161" i="1"/>
  <c r="AL161" i="1"/>
  <c r="AO34" i="1"/>
  <c r="AL34" i="1"/>
  <c r="AL21" i="1"/>
  <c r="AO21" i="1"/>
  <c r="AL98" i="1"/>
  <c r="AO98" i="1"/>
  <c r="AL143" i="1"/>
  <c r="AO143" i="1"/>
  <c r="AO123" i="1"/>
  <c r="AL123" i="1"/>
  <c r="AL194" i="1"/>
  <c r="AO194" i="1"/>
  <c r="AL68" i="1"/>
  <c r="AO68" i="1"/>
  <c r="AL171" i="1"/>
  <c r="AO171" i="1"/>
  <c r="AL85" i="1"/>
  <c r="AO85" i="1"/>
  <c r="AL206" i="1"/>
  <c r="AO206" i="1"/>
  <c r="AL140" i="1"/>
  <c r="AO140" i="1"/>
  <c r="AO38" i="1"/>
  <c r="AL38" i="1"/>
  <c r="AO86" i="1"/>
  <c r="AL86" i="1"/>
  <c r="AO58" i="1"/>
  <c r="AL58" i="1"/>
  <c r="AO242" i="1"/>
  <c r="AL242" i="1"/>
  <c r="AO67" i="1"/>
  <c r="AL67" i="1"/>
  <c r="AO162" i="1"/>
  <c r="AL162" i="1"/>
  <c r="AL44" i="1"/>
  <c r="AO44" i="1"/>
  <c r="AL16" i="1"/>
  <c r="AO16" i="1"/>
  <c r="AL202" i="1"/>
  <c r="AO202" i="1"/>
  <c r="AO153" i="1"/>
  <c r="AL153" i="1"/>
  <c r="AO145" i="1"/>
  <c r="AL145" i="1"/>
  <c r="AO73" i="1"/>
  <c r="AL73" i="1"/>
  <c r="AO47" i="1"/>
  <c r="AL47" i="1"/>
  <c r="AL18" i="1"/>
  <c r="AO18" i="1"/>
  <c r="AL182" i="1"/>
  <c r="AO182" i="1"/>
  <c r="AO231" i="1"/>
  <c r="AL231" i="1"/>
  <c r="AL190" i="1"/>
  <c r="AO190" i="1"/>
  <c r="AO115" i="1"/>
  <c r="AL115" i="1"/>
  <c r="AL29" i="1"/>
  <c r="AO29" i="1"/>
  <c r="AO147" i="1"/>
  <c r="AL147" i="1"/>
  <c r="AL42" i="1"/>
  <c r="AO42" i="1"/>
  <c r="AO95" i="1"/>
  <c r="AL95" i="1"/>
  <c r="AO180" i="1"/>
  <c r="AL180" i="1"/>
  <c r="AL184" i="1"/>
  <c r="AO184" i="1"/>
  <c r="AO96" i="1"/>
  <c r="AL96" i="1"/>
  <c r="AL117" i="1"/>
  <c r="AO117" i="1"/>
  <c r="AL126" i="1"/>
  <c r="AO126" i="1"/>
  <c r="AO221" i="1"/>
  <c r="AL221" i="1"/>
  <c r="AL238" i="1"/>
  <c r="AO238" i="1"/>
  <c r="AO78" i="1"/>
  <c r="AL78" i="1"/>
  <c r="AO192" i="1"/>
  <c r="AL192" i="1"/>
  <c r="AO142" i="1"/>
  <c r="AL142" i="1"/>
  <c r="AO174" i="1"/>
  <c r="AL174" i="1"/>
  <c r="AL23" i="1"/>
  <c r="AO23" i="1"/>
  <c r="AL173" i="1"/>
  <c r="AO173" i="1"/>
  <c r="AO94" i="1"/>
  <c r="AL94" i="1"/>
  <c r="AO204" i="1"/>
  <c r="AL204" i="1"/>
  <c r="AO245" i="1"/>
  <c r="AL245" i="1"/>
  <c r="AL179" i="1"/>
  <c r="AO179" i="1"/>
  <c r="AO150" i="1"/>
  <c r="AL150" i="1"/>
  <c r="AL166" i="1"/>
  <c r="AO166" i="1"/>
  <c r="AL22" i="1"/>
  <c r="AO22" i="1"/>
  <c r="AL36" i="1"/>
  <c r="AO36" i="1"/>
  <c r="AL104" i="1"/>
  <c r="AO104" i="1"/>
  <c r="AO236" i="1"/>
  <c r="AL236" i="1"/>
  <c r="AO232" i="1"/>
  <c r="AL232" i="1"/>
  <c r="AL163" i="1"/>
  <c r="AO163" i="1"/>
  <c r="AL65" i="1"/>
  <c r="AO65" i="1"/>
  <c r="AO102" i="1"/>
  <c r="AL102" i="1"/>
  <c r="AL214" i="1"/>
  <c r="AO214" i="1"/>
  <c r="AO125" i="1"/>
  <c r="AL125" i="1"/>
  <c r="AO133" i="1"/>
  <c r="AL133" i="1"/>
  <c r="AL64" i="1"/>
  <c r="AO64" i="1"/>
  <c r="AL198" i="1"/>
  <c r="AO198" i="1"/>
  <c r="AO224" i="1"/>
  <c r="AL224" i="1"/>
  <c r="AL88" i="1"/>
  <c r="AO88" i="1"/>
  <c r="AL167" i="1"/>
  <c r="AO167" i="1"/>
  <c r="AL208" i="1"/>
  <c r="AO208" i="1"/>
  <c r="AL31" i="1"/>
  <c r="AO31" i="1"/>
  <c r="AO11" i="1"/>
  <c r="AL11" i="1"/>
  <c r="AO54" i="1"/>
  <c r="AL54" i="1"/>
  <c r="AL76" i="1"/>
  <c r="AO76" i="1"/>
  <c r="AL35" i="1"/>
  <c r="AO35" i="1"/>
  <c r="AL50" i="1"/>
  <c r="AO50" i="1"/>
  <c r="AO100" i="1"/>
  <c r="AL100" i="1"/>
  <c r="AL80" i="1"/>
  <c r="AO80" i="1"/>
  <c r="AL74" i="1"/>
  <c r="AO74" i="1"/>
  <c r="AL176" i="1"/>
  <c r="AO176" i="1"/>
  <c r="AL199" i="1"/>
  <c r="AO199" i="1"/>
  <c r="AL14" i="1"/>
  <c r="AO14" i="1"/>
  <c r="AL191" i="1"/>
  <c r="AO191" i="1"/>
  <c r="AL187" i="1"/>
  <c r="AO187" i="1"/>
  <c r="AL228" i="1"/>
  <c r="AO228" i="1"/>
  <c r="AL48" i="1"/>
  <c r="AO48" i="1"/>
  <c r="AL114" i="1"/>
  <c r="AO114" i="1"/>
  <c r="AL53" i="1"/>
  <c r="AO53" i="1"/>
  <c r="AO37" i="1"/>
  <c r="AL37" i="1"/>
  <c r="AO186" i="1"/>
  <c r="AL186" i="1"/>
  <c r="AL155" i="1"/>
  <c r="AO155" i="1"/>
  <c r="AO25" i="1"/>
  <c r="AL25" i="1"/>
  <c r="AL15" i="1"/>
  <c r="AO15" i="1"/>
  <c r="AL77" i="1"/>
  <c r="AO77" i="1"/>
  <c r="AL222" i="1"/>
  <c r="AO222" i="1"/>
  <c r="AT256" i="1" l="1"/>
  <c r="AP256" i="1"/>
  <c r="AQ256" i="1"/>
  <c r="AP260" i="1"/>
  <c r="AT260" i="1"/>
  <c r="AQ260" i="1"/>
  <c r="AP294" i="1"/>
  <c r="AT294" i="1"/>
  <c r="AQ294" i="1"/>
  <c r="AP297" i="1"/>
  <c r="AT297" i="1"/>
  <c r="AQ297" i="1"/>
  <c r="AT266" i="1"/>
  <c r="AP266" i="1"/>
  <c r="AQ266" i="1"/>
  <c r="AP275" i="1"/>
  <c r="AT275" i="1"/>
  <c r="AQ275" i="1"/>
  <c r="AT296" i="1"/>
  <c r="AP296" i="1"/>
  <c r="AQ296" i="1"/>
  <c r="AT293" i="1"/>
  <c r="AP293" i="1"/>
  <c r="AQ293" i="1"/>
  <c r="AT261" i="1"/>
  <c r="AP261" i="1"/>
  <c r="AQ261" i="1"/>
  <c r="AP271" i="1"/>
  <c r="AT271" i="1"/>
  <c r="AQ271" i="1"/>
  <c r="AT254" i="1"/>
  <c r="AP254" i="1"/>
  <c r="AQ254" i="1"/>
  <c r="AT263" i="1"/>
  <c r="AP263" i="1"/>
  <c r="AQ263" i="1"/>
  <c r="AT295" i="1"/>
  <c r="AP295" i="1"/>
  <c r="AQ295" i="1"/>
  <c r="AP298" i="1"/>
  <c r="AT298" i="1"/>
  <c r="AQ298" i="1"/>
  <c r="AT303" i="1"/>
  <c r="AP303" i="1"/>
  <c r="AQ303" i="1"/>
  <c r="AT270" i="1"/>
  <c r="AP270" i="1"/>
  <c r="AQ270" i="1"/>
  <c r="AT287" i="1"/>
  <c r="AP287" i="1"/>
  <c r="AQ287" i="1"/>
  <c r="AP274" i="1"/>
  <c r="AT274" i="1"/>
  <c r="AQ274" i="1"/>
  <c r="AP309" i="1"/>
  <c r="AT309" i="1"/>
  <c r="AQ309" i="1"/>
  <c r="AP280" i="1"/>
  <c r="AT280" i="1"/>
  <c r="AQ280" i="1"/>
  <c r="AT308" i="1"/>
  <c r="AP308" i="1"/>
  <c r="AQ308" i="1"/>
  <c r="AT299" i="1"/>
  <c r="AP299" i="1"/>
  <c r="AQ299" i="1"/>
  <c r="AT276" i="1"/>
  <c r="AP276" i="1"/>
  <c r="AQ276" i="1"/>
  <c r="AT310" i="1"/>
  <c r="AP310" i="1"/>
  <c r="AR311" i="1" s="1"/>
  <c r="AQ310" i="1"/>
  <c r="AP284" i="1"/>
  <c r="AT284" i="1"/>
  <c r="AQ284" i="1"/>
  <c r="AT273" i="1"/>
  <c r="AP273" i="1"/>
  <c r="AQ273" i="1"/>
  <c r="AT289" i="1"/>
  <c r="AP289" i="1"/>
  <c r="AQ289" i="1"/>
  <c r="AP291" i="1"/>
  <c r="AT291" i="1"/>
  <c r="AQ291" i="1"/>
  <c r="AP307" i="1"/>
  <c r="AT307" i="1"/>
  <c r="AQ307" i="1"/>
  <c r="AP277" i="1"/>
  <c r="AT277" i="1"/>
  <c r="AQ277" i="1"/>
  <c r="AP265" i="1"/>
  <c r="AT265" i="1"/>
  <c r="AQ265" i="1"/>
  <c r="AP286" i="1"/>
  <c r="AT286" i="1"/>
  <c r="AQ286" i="1"/>
  <c r="AP269" i="1"/>
  <c r="AT269" i="1"/>
  <c r="AQ269" i="1"/>
  <c r="AT306" i="1"/>
  <c r="AP306" i="1"/>
  <c r="AR307" i="1" s="1"/>
  <c r="AQ306" i="1"/>
  <c r="AP262" i="1"/>
  <c r="AR263" i="1" s="1"/>
  <c r="AT262" i="1"/>
  <c r="AQ262" i="1"/>
  <c r="AT252" i="1"/>
  <c r="AP252" i="1"/>
  <c r="AQ252" i="1"/>
  <c r="AT302" i="1"/>
  <c r="AP302" i="1"/>
  <c r="AQ302" i="1"/>
  <c r="AP267" i="1"/>
  <c r="AT267" i="1"/>
  <c r="AQ267" i="1"/>
  <c r="AP272" i="1"/>
  <c r="AT272" i="1"/>
  <c r="AQ272" i="1"/>
  <c r="AT278" i="1"/>
  <c r="AP278" i="1"/>
  <c r="AQ278" i="1"/>
  <c r="AP282" i="1"/>
  <c r="AT282" i="1"/>
  <c r="AQ282" i="1"/>
  <c r="AT300" i="1"/>
  <c r="AP300" i="1"/>
  <c r="AQ300" i="1"/>
  <c r="AT259" i="1"/>
  <c r="AP259" i="1"/>
  <c r="AQ259" i="1"/>
  <c r="AT290" i="1"/>
  <c r="AP290" i="1"/>
  <c r="AQ290" i="1"/>
  <c r="AT292" i="1"/>
  <c r="AP292" i="1"/>
  <c r="AQ292" i="1"/>
  <c r="AP268" i="1"/>
  <c r="AT268" i="1"/>
  <c r="AQ268" i="1"/>
  <c r="AT305" i="1"/>
  <c r="AP305" i="1"/>
  <c r="AQ305" i="1"/>
  <c r="AT288" i="1"/>
  <c r="AP288" i="1"/>
  <c r="AQ288" i="1"/>
  <c r="AT283" i="1"/>
  <c r="AP283" i="1"/>
  <c r="AR284" i="1" s="1"/>
  <c r="AQ283" i="1"/>
  <c r="AT257" i="1"/>
  <c r="AP257" i="1"/>
  <c r="AQ257" i="1"/>
  <c r="AT251" i="1"/>
  <c r="AP251" i="1"/>
  <c r="AT304" i="1"/>
  <c r="AP304" i="1"/>
  <c r="AQ304" i="1"/>
  <c r="AP253" i="1"/>
  <c r="AT253" i="1"/>
  <c r="AQ253" i="1"/>
  <c r="AT285" i="1"/>
  <c r="AP285" i="1"/>
  <c r="AQ285" i="1"/>
  <c r="AP255" i="1"/>
  <c r="AR256" i="1" s="1"/>
  <c r="AT255" i="1"/>
  <c r="AQ255" i="1"/>
  <c r="AP301" i="1"/>
  <c r="AT301" i="1"/>
  <c r="AQ301" i="1"/>
  <c r="AP258" i="1"/>
  <c r="AR259" i="1" s="1"/>
  <c r="AT258" i="1"/>
  <c r="AQ258" i="1"/>
  <c r="AT281" i="1"/>
  <c r="AP281" i="1"/>
  <c r="AQ281" i="1"/>
  <c r="AT279" i="1"/>
  <c r="AP279" i="1"/>
  <c r="AQ279" i="1"/>
  <c r="AP264" i="1"/>
  <c r="AT264" i="1"/>
  <c r="AQ264" i="1"/>
  <c r="AM210" i="1"/>
  <c r="AM200" i="1"/>
  <c r="AM221" i="1"/>
  <c r="AM217" i="1"/>
  <c r="AM213" i="1"/>
  <c r="AM223" i="1"/>
  <c r="AM180" i="1"/>
  <c r="AM188" i="1"/>
  <c r="AM165" i="1"/>
  <c r="AM220" i="1"/>
  <c r="AM222" i="1"/>
  <c r="AT1" i="1"/>
  <c r="AM207" i="1"/>
  <c r="AM149" i="1"/>
  <c r="AN4" i="1"/>
  <c r="AP4" i="1" s="1"/>
  <c r="AN3" i="1"/>
  <c r="AP3" i="1" s="1"/>
  <c r="AN2" i="1"/>
  <c r="AP2" i="1" s="1"/>
  <c r="AN7" i="1"/>
  <c r="AN6" i="1"/>
  <c r="AN5" i="1"/>
  <c r="AM219" i="1"/>
  <c r="AM218" i="1"/>
  <c r="AM216" i="1"/>
  <c r="AM215" i="1"/>
  <c r="AM214" i="1"/>
  <c r="AM212" i="1"/>
  <c r="AM211" i="1"/>
  <c r="AM209" i="1"/>
  <c r="AM208" i="1"/>
  <c r="AM172" i="1"/>
  <c r="AM171" i="1"/>
  <c r="AM170" i="1"/>
  <c r="AM169" i="1"/>
  <c r="AM168" i="1"/>
  <c r="AM167" i="1"/>
  <c r="AM166" i="1"/>
  <c r="AM164" i="1"/>
  <c r="AM163" i="1"/>
  <c r="AM162" i="1"/>
  <c r="AM161" i="1"/>
  <c r="AM160" i="1"/>
  <c r="AM159" i="1"/>
  <c r="AM158" i="1"/>
  <c r="AM157" i="1"/>
  <c r="AM156" i="1"/>
  <c r="AM155" i="1"/>
  <c r="AM187" i="1"/>
  <c r="AM186" i="1"/>
  <c r="AM185" i="1"/>
  <c r="AM184" i="1"/>
  <c r="AM183" i="1"/>
  <c r="AM182" i="1"/>
  <c r="AM181" i="1"/>
  <c r="AM179" i="1"/>
  <c r="AM178" i="1"/>
  <c r="AM177" i="1"/>
  <c r="AM176" i="1"/>
  <c r="AM175" i="1"/>
  <c r="AM174" i="1"/>
  <c r="AM173" i="1"/>
  <c r="AT3" i="1"/>
  <c r="AT2" i="1"/>
  <c r="AM206" i="1"/>
  <c r="AM205" i="1"/>
  <c r="AM204" i="1"/>
  <c r="AM203" i="1"/>
  <c r="AM202" i="1"/>
  <c r="AM201" i="1"/>
  <c r="AM199" i="1"/>
  <c r="AM198" i="1"/>
  <c r="AM197" i="1"/>
  <c r="AM196" i="1"/>
  <c r="AM195" i="1"/>
  <c r="AM194" i="1"/>
  <c r="AM193" i="1"/>
  <c r="AM192" i="1"/>
  <c r="AM154" i="1"/>
  <c r="AM153" i="1"/>
  <c r="AM152" i="1"/>
  <c r="AM151" i="1"/>
  <c r="AM150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BE18" i="1"/>
  <c r="E46" i="28"/>
  <c r="AD131" i="1"/>
  <c r="AK131" i="1"/>
  <c r="AR294" i="1" l="1"/>
  <c r="AR265" i="1"/>
  <c r="AR303" i="1"/>
  <c r="AR287" i="1"/>
  <c r="AR260" i="1"/>
  <c r="AR271" i="1"/>
  <c r="AR296" i="1"/>
  <c r="AR252" i="1"/>
  <c r="AR269" i="1"/>
  <c r="AR280" i="1"/>
  <c r="AR289" i="1"/>
  <c r="AR295" i="1"/>
  <c r="AR267" i="1"/>
  <c r="AR282" i="1"/>
  <c r="AR254" i="1"/>
  <c r="AR306" i="1"/>
  <c r="AR277" i="1"/>
  <c r="AR275" i="1"/>
  <c r="AR297" i="1"/>
  <c r="AR291" i="1"/>
  <c r="AR273" i="1"/>
  <c r="AR286" i="1"/>
  <c r="AR268" i="1"/>
  <c r="AR278" i="1"/>
  <c r="AR290" i="1"/>
  <c r="AR299" i="1"/>
  <c r="AR255" i="1"/>
  <c r="AR276" i="1"/>
  <c r="AR310" i="1"/>
  <c r="AR293" i="1"/>
  <c r="AR302" i="1"/>
  <c r="AR258" i="1"/>
  <c r="AR301" i="1"/>
  <c r="AR308" i="1"/>
  <c r="AR274" i="1"/>
  <c r="AR304" i="1"/>
  <c r="AR272" i="1"/>
  <c r="AR261" i="1"/>
  <c r="AR279" i="1"/>
  <c r="AR253" i="1"/>
  <c r="AR266" i="1"/>
  <c r="AR264" i="1"/>
  <c r="AR309" i="1"/>
  <c r="AR305" i="1"/>
  <c r="AR292" i="1"/>
  <c r="AR281" i="1"/>
  <c r="AR288" i="1"/>
  <c r="AR262" i="1"/>
  <c r="AR298" i="1"/>
  <c r="AR257" i="1"/>
  <c r="AR283" i="1"/>
  <c r="AR270" i="1"/>
  <c r="AR285" i="1"/>
  <c r="AR300" i="1"/>
  <c r="AQ4" i="1"/>
  <c r="AV89" i="1"/>
  <c r="AV88" i="1"/>
  <c r="E1" i="1"/>
  <c r="AD9" i="1"/>
  <c r="W9" i="1"/>
  <c r="E9" i="1"/>
  <c r="V9" i="1"/>
  <c r="U8" i="1"/>
  <c r="T8" i="1"/>
  <c r="S8" i="1"/>
  <c r="W8" i="1"/>
  <c r="V8" i="1"/>
  <c r="F8" i="1"/>
  <c r="F9" i="1"/>
  <c r="D9" i="1"/>
  <c r="D8" i="1"/>
  <c r="E8" i="1"/>
  <c r="AQ251" i="1"/>
  <c r="AP250" i="1"/>
  <c r="AR251" i="1" s="1"/>
  <c r="AT250" i="1"/>
  <c r="AT131" i="1"/>
  <c r="G8" i="1"/>
  <c r="AT20" i="1"/>
  <c r="AQ20" i="1"/>
  <c r="AP20" i="1"/>
  <c r="AT28" i="1"/>
  <c r="AQ28" i="1"/>
  <c r="AP28" i="1"/>
  <c r="AT36" i="1"/>
  <c r="AQ36" i="1"/>
  <c r="AP36" i="1"/>
  <c r="AT44" i="1"/>
  <c r="AQ44" i="1"/>
  <c r="AP44" i="1"/>
  <c r="G9" i="1"/>
  <c r="AQ52" i="1"/>
  <c r="AT52" i="1"/>
  <c r="AP52" i="1"/>
  <c r="AT60" i="1"/>
  <c r="AQ60" i="1"/>
  <c r="AP60" i="1"/>
  <c r="AT68" i="1"/>
  <c r="AQ68" i="1"/>
  <c r="AP68" i="1"/>
  <c r="AT70" i="1"/>
  <c r="AQ70" i="1"/>
  <c r="AP70" i="1"/>
  <c r="AT76" i="1"/>
  <c r="AP76" i="1"/>
  <c r="AQ76" i="1"/>
  <c r="G6" i="1"/>
  <c r="AT84" i="1"/>
  <c r="AP84" i="1"/>
  <c r="AQ84" i="1"/>
  <c r="AT100" i="1"/>
  <c r="AQ100" i="1"/>
  <c r="AP100" i="1"/>
  <c r="AQ108" i="1"/>
  <c r="AP108" i="1"/>
  <c r="AT108" i="1"/>
  <c r="AT124" i="1"/>
  <c r="AP124" i="1"/>
  <c r="AQ124" i="1"/>
  <c r="AQ140" i="1"/>
  <c r="AT140" i="1"/>
  <c r="AP140" i="1"/>
  <c r="AQ148" i="1"/>
  <c r="AP148" i="1"/>
  <c r="AT148" i="1"/>
  <c r="AT156" i="1"/>
  <c r="AQ156" i="1"/>
  <c r="AP156" i="1"/>
  <c r="AQ164" i="1"/>
  <c r="AT164" i="1"/>
  <c r="AP164" i="1"/>
  <c r="AP172" i="1"/>
  <c r="AT172" i="1"/>
  <c r="AQ172" i="1"/>
  <c r="AT180" i="1"/>
  <c r="AP180" i="1"/>
  <c r="AQ180" i="1"/>
  <c r="AQ196" i="1"/>
  <c r="AP196" i="1"/>
  <c r="AT196" i="1"/>
  <c r="AQ204" i="1"/>
  <c r="AT204" i="1"/>
  <c r="AP204" i="1"/>
  <c r="AQ212" i="1"/>
  <c r="AT212" i="1"/>
  <c r="AP212" i="1"/>
  <c r="AT213" i="1"/>
  <c r="AP213" i="1"/>
  <c r="AQ213" i="1"/>
  <c r="AT220" i="1"/>
  <c r="AQ220" i="1"/>
  <c r="AP220" i="1"/>
  <c r="AQ228" i="1"/>
  <c r="AT228" i="1"/>
  <c r="AP228" i="1"/>
  <c r="AT238" i="1"/>
  <c r="AQ238" i="1"/>
  <c r="AP238" i="1"/>
  <c r="AT244" i="1"/>
  <c r="AQ244" i="1"/>
  <c r="AP244" i="1"/>
  <c r="AP15" i="1"/>
  <c r="AT15" i="1"/>
  <c r="AQ15" i="1"/>
  <c r="AT23" i="1"/>
  <c r="AQ23" i="1"/>
  <c r="AP23" i="1"/>
  <c r="AQ31" i="1"/>
  <c r="AP31" i="1"/>
  <c r="AT31" i="1"/>
  <c r="AT38" i="1"/>
  <c r="AQ38" i="1"/>
  <c r="AP38" i="1"/>
  <c r="AT39" i="1"/>
  <c r="AP39" i="1"/>
  <c r="AQ39" i="1"/>
  <c r="AT47" i="1"/>
  <c r="AQ47" i="1"/>
  <c r="AP47" i="1"/>
  <c r="AQ55" i="1"/>
  <c r="AP55" i="1"/>
  <c r="AT55" i="1"/>
  <c r="AP63" i="1"/>
  <c r="AQ63" i="1"/>
  <c r="AT63" i="1"/>
  <c r="AT71" i="1"/>
  <c r="AQ71" i="1"/>
  <c r="AP71" i="1"/>
  <c r="AQ79" i="1"/>
  <c r="AP79" i="1"/>
  <c r="AT79" i="1"/>
  <c r="AQ87" i="1"/>
  <c r="AP87" i="1"/>
  <c r="AT87" i="1"/>
  <c r="AQ97" i="1"/>
  <c r="AP97" i="1"/>
  <c r="AT97" i="1"/>
  <c r="AT103" i="1"/>
  <c r="AP103" i="1"/>
  <c r="AQ103" i="1"/>
  <c r="AT111" i="1"/>
  <c r="AQ111" i="1"/>
  <c r="AP111" i="1"/>
  <c r="AT127" i="1"/>
  <c r="AQ127" i="1"/>
  <c r="AP127" i="1"/>
  <c r="AQ247" i="1"/>
  <c r="AP247" i="1"/>
  <c r="AT247" i="1"/>
  <c r="AT18" i="1"/>
  <c r="AP18" i="1"/>
  <c r="AQ18" i="1"/>
  <c r="AT26" i="1"/>
  <c r="AQ26" i="1"/>
  <c r="AP26" i="1"/>
  <c r="AP42" i="1"/>
  <c r="AT42" i="1"/>
  <c r="AQ42" i="1"/>
  <c r="AQ50" i="1"/>
  <c r="AP50" i="1"/>
  <c r="AT50" i="1"/>
  <c r="AP58" i="1"/>
  <c r="AT58" i="1"/>
  <c r="AQ58" i="1"/>
  <c r="AQ66" i="1"/>
  <c r="AP66" i="1"/>
  <c r="AT66" i="1"/>
  <c r="AT74" i="1"/>
  <c r="AQ74" i="1"/>
  <c r="AP74" i="1"/>
  <c r="AP82" i="1"/>
  <c r="AT82" i="1"/>
  <c r="AQ82" i="1"/>
  <c r="AP90" i="1"/>
  <c r="AT90" i="1"/>
  <c r="AQ90" i="1"/>
  <c r="AT98" i="1"/>
  <c r="AQ98" i="1"/>
  <c r="AP98" i="1"/>
  <c r="AQ106" i="1"/>
  <c r="AT106" i="1"/>
  <c r="AP106" i="1"/>
  <c r="AT114" i="1"/>
  <c r="AQ114" i="1"/>
  <c r="AP114" i="1"/>
  <c r="AT130" i="1"/>
  <c r="AQ130" i="1"/>
  <c r="AP130" i="1"/>
  <c r="AQ138" i="1"/>
  <c r="AT138" i="1"/>
  <c r="AP138" i="1"/>
  <c r="AQ146" i="1"/>
  <c r="AT146" i="1"/>
  <c r="AP146" i="1"/>
  <c r="AT154" i="1"/>
  <c r="AP154" i="1"/>
  <c r="AQ154" i="1"/>
  <c r="AT162" i="1"/>
  <c r="AQ162" i="1"/>
  <c r="AP162" i="1"/>
  <c r="AP170" i="1"/>
  <c r="AT170" i="1"/>
  <c r="AQ170" i="1"/>
  <c r="AT178" i="1"/>
  <c r="AP178" i="1"/>
  <c r="AQ178" i="1"/>
  <c r="AP186" i="1"/>
  <c r="AT186" i="1"/>
  <c r="AQ186" i="1"/>
  <c r="AQ194" i="1"/>
  <c r="AP194" i="1"/>
  <c r="AT194" i="1"/>
  <c r="AP202" i="1"/>
  <c r="AT202" i="1"/>
  <c r="AQ202" i="1"/>
  <c r="AT210" i="1"/>
  <c r="AP210" i="1"/>
  <c r="AQ210" i="1"/>
  <c r="AT218" i="1"/>
  <c r="AP218" i="1"/>
  <c r="AQ218" i="1"/>
  <c r="AT226" i="1"/>
  <c r="AP226" i="1"/>
  <c r="AQ226" i="1"/>
  <c r="AT234" i="1"/>
  <c r="AQ234" i="1"/>
  <c r="AP234" i="1"/>
  <c r="AT242" i="1"/>
  <c r="AP242" i="1"/>
  <c r="AQ242" i="1"/>
  <c r="AT13" i="1"/>
  <c r="AQ13" i="1"/>
  <c r="AP13" i="1"/>
  <c r="AT21" i="1"/>
  <c r="AQ21" i="1"/>
  <c r="AP21" i="1"/>
  <c r="AT29" i="1"/>
  <c r="AQ29" i="1"/>
  <c r="AP29" i="1"/>
  <c r="AT37" i="1"/>
  <c r="AQ37" i="1"/>
  <c r="AP37" i="1"/>
  <c r="AQ45" i="1"/>
  <c r="AP45" i="1"/>
  <c r="AT45" i="1"/>
  <c r="AT53" i="1"/>
  <c r="AQ53" i="1"/>
  <c r="AP53" i="1"/>
  <c r="AT61" i="1"/>
  <c r="AQ61" i="1"/>
  <c r="AP61" i="1"/>
  <c r="AT69" i="1"/>
  <c r="AQ69" i="1"/>
  <c r="AP69" i="1"/>
  <c r="AT77" i="1"/>
  <c r="AP77" i="1"/>
  <c r="AQ77" i="1"/>
  <c r="AT85" i="1"/>
  <c r="AQ85" i="1"/>
  <c r="AP85" i="1"/>
  <c r="AQ93" i="1"/>
  <c r="AP93" i="1"/>
  <c r="AT93" i="1"/>
  <c r="AP101" i="1"/>
  <c r="AQ101" i="1"/>
  <c r="AT101" i="1"/>
  <c r="AT109" i="1"/>
  <c r="AQ109" i="1"/>
  <c r="AP109" i="1"/>
  <c r="AT117" i="1"/>
  <c r="AQ117" i="1"/>
  <c r="AP117" i="1"/>
  <c r="AT125" i="1"/>
  <c r="AP125" i="1"/>
  <c r="AQ125" i="1"/>
  <c r="AT133" i="1"/>
  <c r="AQ133" i="1"/>
  <c r="AP133" i="1"/>
  <c r="AT141" i="1"/>
  <c r="AP141" i="1"/>
  <c r="AQ141" i="1"/>
  <c r="AQ149" i="1"/>
  <c r="AP149" i="1"/>
  <c r="AT149" i="1"/>
  <c r="AP157" i="1"/>
  <c r="AT157" i="1"/>
  <c r="AQ157" i="1"/>
  <c r="AQ165" i="1"/>
  <c r="AT165" i="1"/>
  <c r="AP165" i="1"/>
  <c r="AQ173" i="1"/>
  <c r="AT173" i="1"/>
  <c r="AP173" i="1"/>
  <c r="AT189" i="1"/>
  <c r="AQ189" i="1"/>
  <c r="AP189" i="1"/>
  <c r="AT197" i="1"/>
  <c r="AQ197" i="1"/>
  <c r="AP197" i="1"/>
  <c r="AT205" i="1"/>
  <c r="AQ205" i="1"/>
  <c r="AP205" i="1"/>
  <c r="AP221" i="1"/>
  <c r="AT221" i="1"/>
  <c r="AQ221" i="1"/>
  <c r="AT225" i="1"/>
  <c r="AQ225" i="1"/>
  <c r="AP225" i="1"/>
  <c r="AT229" i="1"/>
  <c r="AQ229" i="1"/>
  <c r="AP229" i="1"/>
  <c r="AT237" i="1"/>
  <c r="AQ237" i="1"/>
  <c r="AP237" i="1"/>
  <c r="AT245" i="1"/>
  <c r="AQ245" i="1"/>
  <c r="AP245" i="1"/>
  <c r="AT16" i="1"/>
  <c r="AQ16" i="1"/>
  <c r="AP16" i="1"/>
  <c r="AT24" i="1"/>
  <c r="AQ24" i="1"/>
  <c r="AP24" i="1"/>
  <c r="AT32" i="1"/>
  <c r="AQ32" i="1"/>
  <c r="AP32" i="1"/>
  <c r="AT40" i="1"/>
  <c r="AQ40" i="1"/>
  <c r="AP40" i="1"/>
  <c r="AQ48" i="1"/>
  <c r="AP48" i="1"/>
  <c r="AT48" i="1"/>
  <c r="AT56" i="1"/>
  <c r="AQ56" i="1"/>
  <c r="AP56" i="1"/>
  <c r="AT64" i="1"/>
  <c r="AQ64" i="1"/>
  <c r="AP64" i="1"/>
  <c r="AP6" i="1"/>
  <c r="AT72" i="1"/>
  <c r="AQ72" i="1"/>
  <c r="AP72" i="1"/>
  <c r="AQ80" i="1"/>
  <c r="AP80" i="1"/>
  <c r="AT80" i="1"/>
  <c r="AT88" i="1"/>
  <c r="AP88" i="1"/>
  <c r="AQ88" i="1"/>
  <c r="AQ96" i="1"/>
  <c r="AP96" i="1"/>
  <c r="AT96" i="1"/>
  <c r="AP104" i="1"/>
  <c r="AT104" i="1"/>
  <c r="AQ104" i="1"/>
  <c r="AQ112" i="1"/>
  <c r="AT112" i="1"/>
  <c r="AP112" i="1"/>
  <c r="AT120" i="1"/>
  <c r="AQ120" i="1"/>
  <c r="AP120" i="1"/>
  <c r="AT128" i="1"/>
  <c r="AQ128" i="1"/>
  <c r="AP128" i="1"/>
  <c r="AP136" i="1"/>
  <c r="AT136" i="1"/>
  <c r="AQ136" i="1"/>
  <c r="AT144" i="1"/>
  <c r="AQ144" i="1"/>
  <c r="AP144" i="1"/>
  <c r="AQ152" i="1"/>
  <c r="AT152" i="1"/>
  <c r="AP152" i="1"/>
  <c r="AQ160" i="1"/>
  <c r="AP160" i="1"/>
  <c r="AT160" i="1"/>
  <c r="AQ168" i="1"/>
  <c r="AT168" i="1"/>
  <c r="AP168" i="1"/>
  <c r="AT176" i="1"/>
  <c r="AQ176" i="1"/>
  <c r="AP176" i="1"/>
  <c r="AT184" i="1"/>
  <c r="AP184" i="1"/>
  <c r="AQ184" i="1"/>
  <c r="AT192" i="1"/>
  <c r="AQ192" i="1"/>
  <c r="AP192" i="1"/>
  <c r="AQ200" i="1"/>
  <c r="AT200" i="1"/>
  <c r="AP200" i="1"/>
  <c r="AP208" i="1"/>
  <c r="AT208" i="1"/>
  <c r="AQ208" i="1"/>
  <c r="AT216" i="1"/>
  <c r="AP216" i="1"/>
  <c r="AQ216" i="1"/>
  <c r="AT232" i="1"/>
  <c r="AQ232" i="1"/>
  <c r="AP232" i="1"/>
  <c r="AP240" i="1"/>
  <c r="AT240" i="1"/>
  <c r="AQ240" i="1"/>
  <c r="AT248" i="1"/>
  <c r="AQ248" i="1"/>
  <c r="AP248" i="1"/>
  <c r="AT92" i="1"/>
  <c r="AQ92" i="1"/>
  <c r="AP92" i="1"/>
  <c r="AP95" i="1"/>
  <c r="AT95" i="1"/>
  <c r="AQ95" i="1"/>
  <c r="AT119" i="1"/>
  <c r="AQ119" i="1"/>
  <c r="AP119" i="1"/>
  <c r="AT227" i="1"/>
  <c r="AQ227" i="1"/>
  <c r="AP227" i="1"/>
  <c r="AT14" i="1"/>
  <c r="AP14" i="1"/>
  <c r="AQ14" i="1"/>
  <c r="AT22" i="1"/>
  <c r="AP22" i="1"/>
  <c r="AQ22" i="1"/>
  <c r="AT30" i="1"/>
  <c r="AP30" i="1"/>
  <c r="AQ30" i="1"/>
  <c r="AT46" i="1"/>
  <c r="AQ46" i="1"/>
  <c r="AP46" i="1"/>
  <c r="Q8" i="1"/>
  <c r="H8" i="1"/>
  <c r="AQ54" i="1"/>
  <c r="AP54" i="1"/>
  <c r="AT54" i="1"/>
  <c r="AT62" i="1"/>
  <c r="AP62" i="1"/>
  <c r="AQ62" i="1"/>
  <c r="AT78" i="1"/>
  <c r="AQ78" i="1"/>
  <c r="AP78" i="1"/>
  <c r="AT86" i="1"/>
  <c r="AP86" i="1"/>
  <c r="AQ86" i="1"/>
  <c r="AT94" i="1"/>
  <c r="AQ94" i="1"/>
  <c r="AP94" i="1"/>
  <c r="AT102" i="1"/>
  <c r="AP102" i="1"/>
  <c r="AQ102" i="1"/>
  <c r="AT110" i="1"/>
  <c r="AQ110" i="1"/>
  <c r="AP110" i="1"/>
  <c r="AT118" i="1"/>
  <c r="AQ118" i="1"/>
  <c r="AP118" i="1"/>
  <c r="AP126" i="1"/>
  <c r="AT126" i="1"/>
  <c r="AQ126" i="1"/>
  <c r="AT134" i="1"/>
  <c r="AQ134" i="1"/>
  <c r="AP134" i="1"/>
  <c r="AQ142" i="1"/>
  <c r="AP142" i="1"/>
  <c r="AT142" i="1"/>
  <c r="AP150" i="1"/>
  <c r="AT150" i="1"/>
  <c r="AQ150" i="1"/>
  <c r="AQ158" i="1"/>
  <c r="AP158" i="1"/>
  <c r="AT158" i="1"/>
  <c r="AT166" i="1"/>
  <c r="AP166" i="1"/>
  <c r="AQ166" i="1"/>
  <c r="AT174" i="1"/>
  <c r="AP174" i="1"/>
  <c r="AQ174" i="1"/>
  <c r="AT182" i="1"/>
  <c r="AQ182" i="1"/>
  <c r="AP182" i="1"/>
  <c r="AT190" i="1"/>
  <c r="AQ190" i="1"/>
  <c r="AP190" i="1"/>
  <c r="AT198" i="1"/>
  <c r="AQ198" i="1"/>
  <c r="AP198" i="1"/>
  <c r="AP206" i="1"/>
  <c r="AT206" i="1"/>
  <c r="AQ206" i="1"/>
  <c r="AT214" i="1"/>
  <c r="AP214" i="1"/>
  <c r="AQ214" i="1"/>
  <c r="AT222" i="1"/>
  <c r="AP222" i="1"/>
  <c r="AQ222" i="1"/>
  <c r="AT224" i="1"/>
  <c r="AP224" i="1"/>
  <c r="AQ224" i="1"/>
  <c r="AT230" i="1"/>
  <c r="AQ230" i="1"/>
  <c r="AP230" i="1"/>
  <c r="AT246" i="1"/>
  <c r="AQ246" i="1"/>
  <c r="AP246" i="1"/>
  <c r="AT12" i="1"/>
  <c r="AQ12" i="1"/>
  <c r="AP12" i="1"/>
  <c r="AQ116" i="1"/>
  <c r="AT116" i="1"/>
  <c r="AP116" i="1"/>
  <c r="AT132" i="1"/>
  <c r="AP132" i="1"/>
  <c r="AR132" i="1" s="1"/>
  <c r="AQ188" i="1"/>
  <c r="AP188" i="1"/>
  <c r="AT188" i="1"/>
  <c r="AT236" i="1"/>
  <c r="AP236" i="1"/>
  <c r="AQ236" i="1"/>
  <c r="AT135" i="1"/>
  <c r="AQ135" i="1"/>
  <c r="AP135" i="1"/>
  <c r="AT143" i="1"/>
  <c r="AQ143" i="1"/>
  <c r="AP143" i="1"/>
  <c r="AP151" i="1"/>
  <c r="AT151" i="1"/>
  <c r="AQ151" i="1"/>
  <c r="AP159" i="1"/>
  <c r="AT159" i="1"/>
  <c r="AQ159" i="1"/>
  <c r="AP167" i="1"/>
  <c r="AT167" i="1"/>
  <c r="AQ167" i="1"/>
  <c r="AQ175" i="1"/>
  <c r="AT175" i="1"/>
  <c r="AP175" i="1"/>
  <c r="AT183" i="1"/>
  <c r="AQ183" i="1"/>
  <c r="AP183" i="1"/>
  <c r="AQ191" i="1"/>
  <c r="AP191" i="1"/>
  <c r="AT191" i="1"/>
  <c r="AP199" i="1"/>
  <c r="AT199" i="1"/>
  <c r="AQ199" i="1"/>
  <c r="AT207" i="1"/>
  <c r="AP207" i="1"/>
  <c r="AQ207" i="1"/>
  <c r="AT215" i="1"/>
  <c r="AQ215" i="1"/>
  <c r="AP215" i="1"/>
  <c r="AT223" i="1"/>
  <c r="AQ223" i="1"/>
  <c r="AP223" i="1"/>
  <c r="AT231" i="1"/>
  <c r="AQ231" i="1"/>
  <c r="AP231" i="1"/>
  <c r="AT239" i="1"/>
  <c r="AP239" i="1"/>
  <c r="AQ239" i="1"/>
  <c r="AT122" i="1"/>
  <c r="AP122" i="1"/>
  <c r="AQ122" i="1"/>
  <c r="AP11" i="1"/>
  <c r="AT11" i="1"/>
  <c r="AT19" i="1"/>
  <c r="AQ19" i="1"/>
  <c r="AP19" i="1"/>
  <c r="AT27" i="1"/>
  <c r="AQ27" i="1"/>
  <c r="AP27" i="1"/>
  <c r="AP34" i="1"/>
  <c r="AT34" i="1"/>
  <c r="AQ34" i="1"/>
  <c r="AP35" i="1"/>
  <c r="AQ35" i="1"/>
  <c r="AT35" i="1"/>
  <c r="AT43" i="1"/>
  <c r="AQ43" i="1"/>
  <c r="AP43" i="1"/>
  <c r="AQ51" i="1"/>
  <c r="AT51" i="1"/>
  <c r="AP51" i="1"/>
  <c r="E6" i="1"/>
  <c r="AT59" i="1"/>
  <c r="AQ59" i="1"/>
  <c r="AP59" i="1"/>
  <c r="AP5" i="1"/>
  <c r="AT67" i="1"/>
  <c r="AQ67" i="1"/>
  <c r="AP67" i="1"/>
  <c r="AP7" i="1"/>
  <c r="AT75" i="1"/>
  <c r="AP75" i="1"/>
  <c r="AQ75" i="1"/>
  <c r="AQ83" i="1"/>
  <c r="AT83" i="1"/>
  <c r="AP83" i="1"/>
  <c r="AQ91" i="1"/>
  <c r="AT91" i="1"/>
  <c r="AP91" i="1"/>
  <c r="AQ99" i="1"/>
  <c r="AP99" i="1"/>
  <c r="AT99" i="1"/>
  <c r="AQ107" i="1"/>
  <c r="AT107" i="1"/>
  <c r="AP107" i="1"/>
  <c r="AT115" i="1"/>
  <c r="AQ115" i="1"/>
  <c r="AP115" i="1"/>
  <c r="AT123" i="1"/>
  <c r="AQ123" i="1"/>
  <c r="AP123" i="1"/>
  <c r="AQ139" i="1"/>
  <c r="AT139" i="1"/>
  <c r="AP139" i="1"/>
  <c r="AT147" i="1"/>
  <c r="AP147" i="1"/>
  <c r="AQ147" i="1"/>
  <c r="AP155" i="1"/>
  <c r="AT155" i="1"/>
  <c r="AQ155" i="1"/>
  <c r="AT163" i="1"/>
  <c r="AQ163" i="1"/>
  <c r="AP163" i="1"/>
  <c r="AP171" i="1"/>
  <c r="AT171" i="1"/>
  <c r="AQ171" i="1"/>
  <c r="AQ179" i="1"/>
  <c r="AT179" i="1"/>
  <c r="AP179" i="1"/>
  <c r="AP181" i="1"/>
  <c r="AQ181" i="1"/>
  <c r="AT181" i="1"/>
  <c r="AT187" i="1"/>
  <c r="AP187" i="1"/>
  <c r="AQ187" i="1"/>
  <c r="AT203" i="1"/>
  <c r="AQ203" i="1"/>
  <c r="AP203" i="1"/>
  <c r="AT211" i="1"/>
  <c r="AQ211" i="1"/>
  <c r="AP211" i="1"/>
  <c r="AQ235" i="1"/>
  <c r="AP235" i="1"/>
  <c r="AT235" i="1"/>
  <c r="AQ243" i="1"/>
  <c r="AP243" i="1"/>
  <c r="AT243" i="1"/>
  <c r="AT17" i="1"/>
  <c r="AP17" i="1"/>
  <c r="AQ17" i="1"/>
  <c r="AT25" i="1"/>
  <c r="AQ25" i="1"/>
  <c r="AP25" i="1"/>
  <c r="AT33" i="1"/>
  <c r="AP33" i="1"/>
  <c r="AQ33" i="1"/>
  <c r="AT41" i="1"/>
  <c r="AQ41" i="1"/>
  <c r="AP41" i="1"/>
  <c r="AT49" i="1"/>
  <c r="AP49" i="1"/>
  <c r="AQ49" i="1"/>
  <c r="E5" i="1"/>
  <c r="E3" i="1"/>
  <c r="E4" i="1"/>
  <c r="E2" i="1"/>
  <c r="AP57" i="1"/>
  <c r="AQ57" i="1"/>
  <c r="AT57" i="1"/>
  <c r="AQ65" i="1"/>
  <c r="AP65" i="1"/>
  <c r="AT65" i="1"/>
  <c r="AT73" i="1"/>
  <c r="AQ73" i="1"/>
  <c r="AP73" i="1"/>
  <c r="AT81" i="1"/>
  <c r="AQ81" i="1"/>
  <c r="AP81" i="1"/>
  <c r="AT89" i="1"/>
  <c r="AQ89" i="1"/>
  <c r="AP89" i="1"/>
  <c r="AQ105" i="1"/>
  <c r="AT105" i="1"/>
  <c r="AP105" i="1"/>
  <c r="AT113" i="1"/>
  <c r="AP113" i="1"/>
  <c r="AQ113" i="1"/>
  <c r="AT121" i="1"/>
  <c r="AQ121" i="1"/>
  <c r="AP121" i="1"/>
  <c r="AT129" i="1"/>
  <c r="AP129" i="1"/>
  <c r="AQ129" i="1"/>
  <c r="AQ137" i="1"/>
  <c r="AP137" i="1"/>
  <c r="AT137" i="1"/>
  <c r="AQ145" i="1"/>
  <c r="AP145" i="1"/>
  <c r="AT145" i="1"/>
  <c r="AP153" i="1"/>
  <c r="AT153" i="1"/>
  <c r="AQ153" i="1"/>
  <c r="AQ161" i="1"/>
  <c r="AT161" i="1"/>
  <c r="AP161" i="1"/>
  <c r="AQ169" i="1"/>
  <c r="AT169" i="1"/>
  <c r="AP169" i="1"/>
  <c r="AQ177" i="1"/>
  <c r="AP177" i="1"/>
  <c r="AT177" i="1"/>
  <c r="AT185" i="1"/>
  <c r="AQ185" i="1"/>
  <c r="AP185" i="1"/>
  <c r="AQ193" i="1"/>
  <c r="AP193" i="1"/>
  <c r="AT193" i="1"/>
  <c r="AQ195" i="1"/>
  <c r="AP195" i="1"/>
  <c r="AT195" i="1"/>
  <c r="AP201" i="1"/>
  <c r="AT201" i="1"/>
  <c r="AQ201" i="1"/>
  <c r="AT209" i="1"/>
  <c r="AQ209" i="1"/>
  <c r="AP209" i="1"/>
  <c r="AP217" i="1"/>
  <c r="AT217" i="1"/>
  <c r="AQ217" i="1"/>
  <c r="AT219" i="1"/>
  <c r="AP219" i="1"/>
  <c r="AQ219" i="1"/>
  <c r="AT233" i="1"/>
  <c r="AQ233" i="1"/>
  <c r="AP233" i="1"/>
  <c r="AT241" i="1"/>
  <c r="AP241" i="1"/>
  <c r="AQ241" i="1"/>
  <c r="AQ250" i="1"/>
  <c r="AT249" i="1"/>
  <c r="AQ249" i="1"/>
  <c r="AP249" i="1"/>
  <c r="E45" i="28"/>
  <c r="BE19" i="1"/>
  <c r="W5" i="1" l="1"/>
  <c r="W1" i="1"/>
  <c r="W4" i="1"/>
  <c r="W3" i="1"/>
  <c r="W2" i="1"/>
  <c r="AR145" i="1"/>
  <c r="AR41" i="1"/>
  <c r="AQ132" i="1"/>
  <c r="AR25" i="1"/>
  <c r="AR193" i="1"/>
  <c r="AR21" i="1"/>
  <c r="AR203" i="1"/>
  <c r="AR91" i="1"/>
  <c r="AR37" i="1"/>
  <c r="AR113" i="1"/>
  <c r="AR230" i="1"/>
  <c r="AR32" i="1"/>
  <c r="AR229" i="1"/>
  <c r="AR181" i="1"/>
  <c r="AR241" i="1"/>
  <c r="AR243" i="1"/>
  <c r="AR14" i="1"/>
  <c r="AR16" i="1"/>
  <c r="AR30" i="1"/>
  <c r="AR28" i="1"/>
  <c r="AR23" i="1"/>
  <c r="AR22" i="1"/>
  <c r="AR56" i="1"/>
  <c r="AR19" i="1"/>
  <c r="AR40" i="1"/>
  <c r="AR53" i="1"/>
  <c r="AR239" i="1"/>
  <c r="AR35" i="1"/>
  <c r="AR129" i="1"/>
  <c r="AR67" i="1"/>
  <c r="AR163" i="1"/>
  <c r="AR38" i="1"/>
  <c r="AR177" i="1"/>
  <c r="AR147" i="1"/>
  <c r="AR151" i="1"/>
  <c r="AR166" i="1"/>
  <c r="AR64" i="1"/>
  <c r="AR149" i="1"/>
  <c r="AR61" i="1"/>
  <c r="AR44" i="1"/>
  <c r="AR208" i="1"/>
  <c r="AR125" i="1"/>
  <c r="AR198" i="1"/>
  <c r="AR157" i="1"/>
  <c r="AR57" i="1"/>
  <c r="AR194" i="1"/>
  <c r="AR43" i="1"/>
  <c r="AR126" i="1"/>
  <c r="AR197" i="1"/>
  <c r="AR143" i="1"/>
  <c r="AR51" i="1"/>
  <c r="AR205" i="1"/>
  <c r="AR62" i="1"/>
  <c r="AR47" i="1"/>
  <c r="AR217" i="1"/>
  <c r="AR26" i="1"/>
  <c r="AR175" i="1"/>
  <c r="AR78" i="1"/>
  <c r="AR82" i="1"/>
  <c r="AR110" i="1"/>
  <c r="AR73" i="1"/>
  <c r="AR80" i="1"/>
  <c r="AR133" i="1"/>
  <c r="AR71" i="1"/>
  <c r="AR68" i="1"/>
  <c r="AR59" i="1"/>
  <c r="AR150" i="1"/>
  <c r="AR158" i="1"/>
  <c r="AR200" i="1"/>
  <c r="AR207" i="1"/>
  <c r="AR81" i="1"/>
  <c r="AR187" i="1"/>
  <c r="AR222" i="1"/>
  <c r="AR195" i="1"/>
  <c r="AR88" i="1"/>
  <c r="AR96" i="1"/>
  <c r="AR93" i="1"/>
  <c r="AR165" i="1"/>
  <c r="AR189" i="1"/>
  <c r="AR160" i="1"/>
  <c r="AR167" i="1"/>
  <c r="AR248" i="1"/>
  <c r="AR169" i="1"/>
  <c r="AR105" i="1"/>
  <c r="AR184" i="1"/>
  <c r="AR170" i="1"/>
  <c r="AR85" i="1"/>
  <c r="AR121" i="1"/>
  <c r="AR109" i="1"/>
  <c r="AR137" i="1"/>
  <c r="AR227" i="1"/>
  <c r="AR119" i="1"/>
  <c r="AR139" i="1"/>
  <c r="AR183" i="1"/>
  <c r="AR86" i="1"/>
  <c r="AR134" i="1"/>
  <c r="AR117" i="1"/>
  <c r="AR101" i="1"/>
  <c r="AR114" i="1"/>
  <c r="AR103" i="1"/>
  <c r="AR112" i="1"/>
  <c r="AR100" i="1"/>
  <c r="AR130" i="1"/>
  <c r="AR128" i="1"/>
  <c r="AR98" i="1"/>
  <c r="AR179" i="1"/>
  <c r="AR107" i="1"/>
  <c r="AR89" i="1"/>
  <c r="AR123" i="1"/>
  <c r="AR210" i="1"/>
  <c r="AR221" i="1"/>
  <c r="AR54" i="1"/>
  <c r="AR232" i="1"/>
  <c r="AR75" i="1"/>
  <c r="AR174" i="1"/>
  <c r="AR72" i="1"/>
  <c r="AR212" i="1"/>
  <c r="AR48" i="1"/>
  <c r="AR218" i="1"/>
  <c r="AR154" i="1"/>
  <c r="AR152" i="1"/>
  <c r="AR173" i="1"/>
  <c r="AR185" i="1"/>
  <c r="AR246" i="1"/>
  <c r="AR214" i="1"/>
  <c r="AR201" i="1"/>
  <c r="AR161" i="1"/>
  <c r="AR234" i="1"/>
  <c r="AR244" i="1"/>
  <c r="AR83" i="1"/>
  <c r="AR122" i="1"/>
  <c r="AR223" i="1"/>
  <c r="AR188" i="1"/>
  <c r="AR12" i="1"/>
  <c r="AR176" i="1"/>
  <c r="AR77" i="1"/>
  <c r="AR29" i="1"/>
  <c r="AR13" i="1"/>
  <c r="AR146" i="1"/>
  <c r="AR66" i="1"/>
  <c r="AR50" i="1"/>
  <c r="AR247" i="1"/>
  <c r="AR87" i="1"/>
  <c r="AR220" i="1"/>
  <c r="AR180" i="1"/>
  <c r="AR156" i="1"/>
  <c r="AR52" i="1"/>
  <c r="AR141" i="1"/>
  <c r="AR49" i="1"/>
  <c r="AR33" i="1"/>
  <c r="AR17" i="1"/>
  <c r="AR155" i="1"/>
  <c r="AR159" i="1"/>
  <c r="AR216" i="1"/>
  <c r="AR192" i="1"/>
  <c r="AR24" i="1"/>
  <c r="AR245" i="1"/>
  <c r="AR162" i="1"/>
  <c r="AR127" i="1"/>
  <c r="AR63" i="1"/>
  <c r="AR238" i="1"/>
  <c r="AR124" i="1"/>
  <c r="AR36" i="1"/>
  <c r="AR20" i="1"/>
  <c r="AR140" i="1"/>
  <c r="AR204" i="1"/>
  <c r="AR76" i="1"/>
  <c r="AR249" i="1"/>
  <c r="AR250" i="1"/>
  <c r="AR211" i="1"/>
  <c r="AR99" i="1"/>
  <c r="AR34" i="1"/>
  <c r="AR215" i="1"/>
  <c r="AR199" i="1"/>
  <c r="AR224" i="1"/>
  <c r="AR102" i="1"/>
  <c r="AR168" i="1"/>
  <c r="AR225" i="1"/>
  <c r="AR226" i="1"/>
  <c r="AR186" i="1"/>
  <c r="AR138" i="1"/>
  <c r="AR74" i="1"/>
  <c r="AR70" i="1"/>
  <c r="AR235" i="1"/>
  <c r="AR135" i="1"/>
  <c r="AR190" i="1"/>
  <c r="AR136" i="1"/>
  <c r="AR209" i="1"/>
  <c r="AR153" i="1"/>
  <c r="AR171" i="1"/>
  <c r="AR115" i="1"/>
  <c r="AR27" i="1"/>
  <c r="AR182" i="1"/>
  <c r="AR142" i="1"/>
  <c r="AR118" i="1"/>
  <c r="AR46" i="1"/>
  <c r="AR95" i="1"/>
  <c r="AR144" i="1"/>
  <c r="AR69" i="1"/>
  <c r="AR106" i="1"/>
  <c r="AR90" i="1"/>
  <c r="AR18" i="1"/>
  <c r="AR97" i="1"/>
  <c r="AR79" i="1"/>
  <c r="AR55" i="1"/>
  <c r="AR39" i="1"/>
  <c r="AR31" i="1"/>
  <c r="AR213" i="1"/>
  <c r="AR172" i="1"/>
  <c r="AR148" i="1"/>
  <c r="AR84" i="1"/>
  <c r="W6" i="1"/>
  <c r="F6" i="1"/>
  <c r="Q6" i="1"/>
  <c r="V6" i="1"/>
  <c r="U6" i="1"/>
  <c r="S6" i="1"/>
  <c r="H6" i="1"/>
  <c r="T6" i="1"/>
  <c r="F5" i="1"/>
  <c r="S5" i="1"/>
  <c r="H5" i="1"/>
  <c r="V5" i="1"/>
  <c r="Q5" i="1"/>
  <c r="G5" i="1"/>
  <c r="U5" i="1"/>
  <c r="T5" i="1"/>
  <c r="G3" i="1"/>
  <c r="T2" i="1"/>
  <c r="G1" i="1"/>
  <c r="Q4" i="1"/>
  <c r="H2" i="1"/>
  <c r="T4" i="1"/>
  <c r="F3" i="1"/>
  <c r="S2" i="1"/>
  <c r="F1" i="1"/>
  <c r="S4" i="1"/>
  <c r="Q2" i="1"/>
  <c r="V1" i="1"/>
  <c r="U1" i="1"/>
  <c r="H4" i="1"/>
  <c r="T3" i="1"/>
  <c r="G2" i="1"/>
  <c r="T1" i="1"/>
  <c r="H3" i="1"/>
  <c r="H1" i="1"/>
  <c r="G4" i="1"/>
  <c r="S3" i="1"/>
  <c r="F2" i="1"/>
  <c r="S1" i="1"/>
  <c r="U2" i="1"/>
  <c r="F4" i="1"/>
  <c r="Q3" i="1"/>
  <c r="V2" i="1"/>
  <c r="Q1" i="1"/>
  <c r="AR233" i="1"/>
  <c r="AR45" i="1"/>
  <c r="AR219" i="1"/>
  <c r="AR65" i="1"/>
  <c r="AR231" i="1"/>
  <c r="AR191" i="1"/>
  <c r="AR236" i="1"/>
  <c r="AR116" i="1"/>
  <c r="AR206" i="1"/>
  <c r="AR94" i="1"/>
  <c r="AR92" i="1"/>
  <c r="AR240" i="1"/>
  <c r="AR120" i="1"/>
  <c r="AR104" i="1"/>
  <c r="AQ6" i="1"/>
  <c r="AR237" i="1"/>
  <c r="AR242" i="1"/>
  <c r="AR202" i="1"/>
  <c r="AR178" i="1"/>
  <c r="AR58" i="1"/>
  <c r="AR42" i="1"/>
  <c r="AR111" i="1"/>
  <c r="AR15" i="1"/>
  <c r="AR228" i="1"/>
  <c r="AR196" i="1"/>
  <c r="AR164" i="1"/>
  <c r="AR108" i="1"/>
  <c r="AR60" i="1"/>
  <c r="B24" i="28"/>
  <c r="E37" i="28"/>
  <c r="E44" i="28"/>
  <c r="E33" i="28"/>
  <c r="E36" i="28"/>
  <c r="E38" i="28"/>
  <c r="E23" i="28"/>
  <c r="E40" i="28"/>
  <c r="E26" i="28"/>
  <c r="E43" i="28"/>
  <c r="E28" i="28"/>
  <c r="E41" i="28"/>
  <c r="E31" i="28"/>
  <c r="E42" i="28"/>
  <c r="E35" i="28"/>
  <c r="E34" i="28"/>
  <c r="E39" i="28"/>
  <c r="E25" i="28"/>
  <c r="E29" i="28"/>
  <c r="BE20" i="1"/>
  <c r="E24" i="28"/>
  <c r="E30" i="28"/>
  <c r="E27" i="28"/>
  <c r="E32" i="28"/>
  <c r="B25" i="28" l="1"/>
  <c r="H21" i="28"/>
  <c r="E21" i="28"/>
  <c r="BE21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15" i="38"/>
  <c r="B12" i="38"/>
  <c r="D12" i="38" s="1"/>
  <c r="K11" i="38"/>
  <c r="D10" i="38"/>
  <c r="L9" i="38"/>
  <c r="D9" i="38"/>
  <c r="D8" i="38"/>
  <c r="D7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22" i="1"/>
  <c r="F41" i="41"/>
  <c r="F8" i="41"/>
  <c r="F10" i="41"/>
  <c r="C8" i="41"/>
  <c r="L8" i="41"/>
  <c r="C59" i="41"/>
  <c r="I5" i="41"/>
  <c r="F19" i="41"/>
  <c r="I35" i="41"/>
  <c r="L7" i="41"/>
  <c r="C47" i="41"/>
  <c r="L31" i="41"/>
  <c r="I48" i="41"/>
  <c r="L12" i="41"/>
  <c r="F34" i="41"/>
  <c r="I25" i="41"/>
  <c r="I17" i="41"/>
  <c r="I22" i="41"/>
  <c r="I45" i="41"/>
  <c r="L18" i="41"/>
  <c r="F25" i="41"/>
  <c r="C44" i="41"/>
  <c r="F17" i="41"/>
  <c r="C17" i="41"/>
  <c r="L36" i="41"/>
  <c r="C66" i="41"/>
  <c r="L16" i="41"/>
  <c r="C48" i="41"/>
  <c r="I40" i="41"/>
  <c r="F12" i="41"/>
  <c r="I9" i="41"/>
  <c r="C38" i="41"/>
  <c r="I50" i="41"/>
  <c r="I43" i="41"/>
  <c r="C5" i="41"/>
  <c r="C35" i="41"/>
  <c r="F46" i="41"/>
  <c r="F40" i="41"/>
  <c r="C70" i="41"/>
  <c r="L30" i="41"/>
  <c r="C67" i="41"/>
  <c r="C15" i="41"/>
  <c r="L44" i="41"/>
  <c r="I38" i="41"/>
  <c r="C14" i="41"/>
  <c r="I41" i="41"/>
  <c r="I46" i="41"/>
  <c r="L14" i="41"/>
  <c r="L26" i="41"/>
  <c r="L24" i="41"/>
  <c r="F4" i="41"/>
  <c r="C13" i="41"/>
  <c r="F43" i="41"/>
  <c r="I42" i="41"/>
  <c r="C50" i="41"/>
  <c r="C58" i="41"/>
  <c r="F39" i="41"/>
  <c r="C26" i="41"/>
  <c r="F3" i="41"/>
  <c r="F38" i="41"/>
  <c r="L42" i="41"/>
  <c r="C51" i="41"/>
  <c r="F14" i="41"/>
  <c r="C20" i="41"/>
  <c r="C34" i="41"/>
  <c r="I18" i="41"/>
  <c r="L3" i="41"/>
  <c r="F47" i="41"/>
  <c r="L39" i="41"/>
  <c r="C36" i="41"/>
  <c r="F44" i="41"/>
  <c r="I3" i="41"/>
  <c r="I33" i="41"/>
  <c r="F31" i="41"/>
  <c r="I8" i="41"/>
  <c r="C10" i="41"/>
  <c r="I34" i="41"/>
  <c r="C60" i="41"/>
  <c r="F15" i="41"/>
  <c r="C18" i="41"/>
  <c r="F23" i="41"/>
  <c r="L34" i="41"/>
  <c r="L5" i="41"/>
  <c r="F49" i="41"/>
  <c r="F28" i="41"/>
  <c r="F24" i="41"/>
  <c r="C49" i="41"/>
  <c r="C11" i="41"/>
  <c r="C4" i="41"/>
  <c r="I47" i="41"/>
  <c r="C39" i="41"/>
  <c r="C12" i="41"/>
  <c r="I53" i="41"/>
  <c r="I39" i="41"/>
  <c r="L23" i="41"/>
  <c r="C27" i="41"/>
  <c r="C56" i="41"/>
  <c r="L45" i="41"/>
  <c r="L33" i="41"/>
  <c r="C22" i="41"/>
  <c r="C54" i="41"/>
  <c r="C21" i="41"/>
  <c r="I49" i="41"/>
  <c r="I26" i="41"/>
  <c r="F36" i="41"/>
  <c r="L9" i="41"/>
  <c r="L19" i="41"/>
  <c r="C55" i="41"/>
  <c r="L38" i="41"/>
  <c r="L13" i="41"/>
  <c r="I4" i="41"/>
  <c r="C41" i="41"/>
  <c r="L11" i="41"/>
  <c r="I27" i="41"/>
  <c r="C29" i="41"/>
  <c r="C68" i="41"/>
  <c r="L41" i="41"/>
  <c r="I36" i="41"/>
  <c r="I23" i="41"/>
  <c r="C40" i="41"/>
  <c r="C25" i="41"/>
  <c r="C16" i="41"/>
  <c r="L28" i="41"/>
  <c r="F33" i="41"/>
  <c r="L22" i="41"/>
  <c r="I24" i="41"/>
  <c r="C57" i="41"/>
  <c r="F26" i="41"/>
  <c r="C6" i="41"/>
  <c r="C3" i="41"/>
  <c r="L20" i="41"/>
  <c r="L37" i="41"/>
  <c r="I52" i="41"/>
  <c r="F9" i="41"/>
  <c r="C30" i="41"/>
  <c r="C33" i="41"/>
  <c r="L29" i="41"/>
  <c r="C64" i="41"/>
  <c r="L10" i="41"/>
  <c r="L46" i="41"/>
  <c r="F5" i="41"/>
  <c r="C24" i="41"/>
  <c r="I31" i="41"/>
  <c r="C37" i="41"/>
  <c r="C71" i="41"/>
  <c r="C69" i="41"/>
  <c r="C65" i="41"/>
  <c r="F45" i="41"/>
  <c r="C45" i="41"/>
  <c r="I11" i="41"/>
  <c r="C52" i="41"/>
  <c r="I6" i="41"/>
  <c r="C23" i="41"/>
  <c r="I14" i="41"/>
  <c r="C9" i="41"/>
  <c r="L43" i="41"/>
  <c r="F32" i="41"/>
  <c r="I32" i="41"/>
  <c r="C63" i="41"/>
  <c r="L17" i="41"/>
  <c r="I12" i="41"/>
  <c r="L27" i="41"/>
  <c r="L47" i="41"/>
  <c r="I10" i="41"/>
  <c r="L35" i="41"/>
  <c r="I16" i="41"/>
  <c r="C31" i="41"/>
  <c r="F11" i="41"/>
  <c r="I7" i="41"/>
  <c r="F37" i="41"/>
  <c r="C43" i="41"/>
  <c r="C32" i="41"/>
  <c r="I29" i="41"/>
  <c r="I28" i="41"/>
  <c r="C62" i="41"/>
  <c r="I21" i="41"/>
  <c r="F16" i="41"/>
  <c r="F29" i="41"/>
  <c r="F20" i="41"/>
  <c r="F35" i="41"/>
  <c r="F13" i="41"/>
  <c r="F48" i="41"/>
  <c r="F7" i="41"/>
  <c r="C42" i="41"/>
  <c r="I20" i="41"/>
  <c r="I51" i="41"/>
  <c r="I30" i="41"/>
  <c r="L6" i="41"/>
  <c r="F18" i="41"/>
  <c r="C19" i="41"/>
  <c r="F6" i="41"/>
  <c r="L40" i="41"/>
  <c r="F30" i="41"/>
  <c r="F22" i="41"/>
  <c r="F42" i="41"/>
  <c r="I15" i="41"/>
  <c r="F27" i="41"/>
  <c r="C7" i="41"/>
  <c r="L32" i="41"/>
  <c r="C28" i="41"/>
  <c r="L4" i="41"/>
  <c r="I13" i="41"/>
  <c r="I44" i="41"/>
  <c r="I37" i="41"/>
  <c r="I19" i="41"/>
  <c r="C61" i="41"/>
  <c r="L15" i="41"/>
  <c r="L25" i="41"/>
  <c r="C53" i="41"/>
  <c r="F21" i="41"/>
  <c r="L21" i="41"/>
  <c r="V2" i="28" l="1"/>
  <c r="L4" i="38"/>
  <c r="L10" i="38" s="1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1" i="39"/>
  <c r="L281" i="39" s="1"/>
  <c r="I281" i="39"/>
  <c r="J281" i="39" s="1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23" i="1"/>
  <c r="Z84" i="42"/>
  <c r="Y81" i="42"/>
  <c r="Z83" i="42"/>
  <c r="Y82" i="42"/>
  <c r="Z82" i="42"/>
  <c r="Y84" i="42"/>
  <c r="Z81" i="42"/>
  <c r="Y83" i="42"/>
  <c r="K10" i="28" l="1"/>
  <c r="K19" i="38"/>
  <c r="N5" i="38"/>
  <c r="B28" i="28"/>
  <c r="J27" i="28"/>
  <c r="K13" i="38"/>
  <c r="L11" i="38"/>
  <c r="K11" i="28"/>
  <c r="BE24" i="1"/>
  <c r="Y80" i="42"/>
  <c r="Z80" i="42"/>
  <c r="N13" i="38" l="1"/>
  <c r="M25" i="38"/>
  <c r="M28" i="38" s="1"/>
  <c r="B29" i="28"/>
  <c r="J28" i="28"/>
  <c r="I80" i="42"/>
  <c r="L80" i="42" s="1"/>
  <c r="F80" i="42"/>
  <c r="BE25" i="1"/>
  <c r="Z79" i="42"/>
  <c r="Y79" i="42"/>
  <c r="B30" i="28" l="1"/>
  <c r="J29" i="28"/>
  <c r="I79" i="42"/>
  <c r="L79" i="42" s="1"/>
  <c r="F79" i="42"/>
  <c r="BE26" i="1"/>
  <c r="Y78" i="42"/>
  <c r="Z78" i="42"/>
  <c r="B31" i="28" l="1"/>
  <c r="J30" i="28"/>
  <c r="I78" i="42"/>
  <c r="L78" i="42" s="1"/>
  <c r="F78" i="42"/>
  <c r="BE27" i="1"/>
  <c r="Z77" i="42"/>
  <c r="Y77" i="42"/>
  <c r="B32" i="28" l="1"/>
  <c r="J31" i="28"/>
  <c r="I77" i="42"/>
  <c r="L77" i="42" s="1"/>
  <c r="F77" i="42"/>
  <c r="C77" i="42"/>
  <c r="BE28" i="1"/>
  <c r="Y76" i="42"/>
  <c r="Z76" i="42"/>
  <c r="J32" i="28" l="1"/>
  <c r="B33" i="28"/>
  <c r="I76" i="42"/>
  <c r="L76" i="42" s="1"/>
  <c r="F76" i="42"/>
  <c r="BE29" i="1"/>
  <c r="Y75" i="42"/>
  <c r="Z75" i="42"/>
  <c r="B34" i="28" l="1"/>
  <c r="J33" i="28"/>
  <c r="I75" i="42"/>
  <c r="L75" i="42" s="1"/>
  <c r="F75" i="42"/>
  <c r="BE30" i="1"/>
  <c r="Y74" i="42"/>
  <c r="Z74" i="42"/>
  <c r="B35" i="28" l="1"/>
  <c r="J34" i="28"/>
  <c r="I74" i="42"/>
  <c r="L74" i="42" s="1"/>
  <c r="F74" i="42"/>
  <c r="BE31" i="1"/>
  <c r="Z73" i="42"/>
  <c r="Y73" i="42"/>
  <c r="B36" i="28" l="1"/>
  <c r="J35" i="28"/>
  <c r="I73" i="42"/>
  <c r="L73" i="42" s="1"/>
  <c r="F73" i="42"/>
  <c r="BE32" i="1"/>
  <c r="Z72" i="42"/>
  <c r="Y72" i="42"/>
  <c r="B37" i="28" l="1"/>
  <c r="J36" i="28"/>
  <c r="I72" i="42"/>
  <c r="L72" i="42" s="1"/>
  <c r="F72" i="42"/>
  <c r="B72" i="42"/>
  <c r="BE33" i="1"/>
  <c r="Y71" i="42"/>
  <c r="Z71" i="42"/>
  <c r="B38" i="28" l="1"/>
  <c r="J37" i="28"/>
  <c r="I71" i="42"/>
  <c r="L71" i="42" s="1"/>
  <c r="F71" i="42"/>
  <c r="B71" i="42"/>
  <c r="BE34" i="1"/>
  <c r="Y70" i="42"/>
  <c r="Z70" i="42"/>
  <c r="J38" i="28" l="1"/>
  <c r="B39" i="28"/>
  <c r="I70" i="42"/>
  <c r="L70" i="42" s="1"/>
  <c r="F70" i="42"/>
  <c r="B70" i="42"/>
  <c r="BE35" i="1"/>
  <c r="Y69" i="42"/>
  <c r="Z69" i="42"/>
  <c r="B40" i="28" l="1"/>
  <c r="J39" i="28"/>
  <c r="I69" i="42"/>
  <c r="L69" i="42" s="1"/>
  <c r="F69" i="42"/>
  <c r="B69" i="42"/>
  <c r="BE36" i="1"/>
  <c r="Y68" i="42"/>
  <c r="Z68" i="42"/>
  <c r="B41" i="28" l="1"/>
  <c r="J40" i="28"/>
  <c r="I68" i="42"/>
  <c r="L68" i="42" s="1"/>
  <c r="F68" i="42"/>
  <c r="B68" i="42"/>
  <c r="BE37" i="1"/>
  <c r="Y67" i="42"/>
  <c r="Z67" i="42"/>
  <c r="B42" i="28" l="1"/>
  <c r="J41" i="28"/>
  <c r="I67" i="42"/>
  <c r="L67" i="42" s="1"/>
  <c r="F67" i="42"/>
  <c r="C67" i="42"/>
  <c r="B67" i="42"/>
  <c r="BE38" i="1"/>
  <c r="BK66" i="42"/>
  <c r="BJ66" i="42"/>
  <c r="B43" i="28" l="1"/>
  <c r="J42" i="28"/>
  <c r="BE39" i="1"/>
  <c r="Y66" i="42"/>
  <c r="Z66" i="42"/>
  <c r="B44" i="28" l="1"/>
  <c r="J43" i="28"/>
  <c r="I66" i="42"/>
  <c r="L66" i="42" s="1"/>
  <c r="F66" i="42"/>
  <c r="C66" i="42"/>
  <c r="B66" i="42"/>
  <c r="BE40" i="1"/>
  <c r="BJ65" i="42"/>
  <c r="BK65" i="42"/>
  <c r="J44" i="28" l="1"/>
  <c r="B45" i="28"/>
  <c r="BE41" i="1"/>
  <c r="Z65" i="42"/>
  <c r="Y65" i="42"/>
  <c r="B46" i="28" l="1"/>
  <c r="J45" i="28"/>
  <c r="I65" i="42"/>
  <c r="L65" i="42" s="1"/>
  <c r="F65" i="42"/>
  <c r="C65" i="42"/>
  <c r="BE42" i="1"/>
  <c r="BJ64" i="42"/>
  <c r="BK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43" i="1"/>
  <c r="Y53" i="42"/>
  <c r="Z57" i="42"/>
  <c r="BK50" i="42"/>
  <c r="BK59" i="42"/>
  <c r="BK53" i="42"/>
  <c r="BJ50" i="42"/>
  <c r="Y46" i="42"/>
  <c r="Z56" i="42"/>
  <c r="Y54" i="42"/>
  <c r="BJ48" i="42"/>
  <c r="Z54" i="42"/>
  <c r="BK58" i="42"/>
  <c r="BK46" i="42"/>
  <c r="Z59" i="42"/>
  <c r="Z44" i="42"/>
  <c r="Z51" i="42"/>
  <c r="Z63" i="42"/>
  <c r="Z43" i="42"/>
  <c r="Y43" i="42"/>
  <c r="BK48" i="42"/>
  <c r="Z49" i="42"/>
  <c r="BJ62" i="42"/>
  <c r="Y62" i="42"/>
  <c r="BK54" i="42"/>
  <c r="Z58" i="42"/>
  <c r="Y55" i="42"/>
  <c r="BK43" i="42"/>
  <c r="Y59" i="42"/>
  <c r="BJ60" i="42"/>
  <c r="Y64" i="42"/>
  <c r="Z55" i="42"/>
  <c r="Z50" i="42"/>
  <c r="BK42" i="42"/>
  <c r="Z45" i="42"/>
  <c r="BK61" i="42"/>
  <c r="Z53" i="42"/>
  <c r="Y48" i="42"/>
  <c r="BJ57" i="42"/>
  <c r="BJ39" i="42"/>
  <c r="BJ44" i="42"/>
  <c r="BJ61" i="42"/>
  <c r="Y49" i="42"/>
  <c r="BK55" i="42"/>
  <c r="BK57" i="42"/>
  <c r="BK45" i="42"/>
  <c r="BJ53" i="42"/>
  <c r="BJ42" i="42"/>
  <c r="BJ56" i="42"/>
  <c r="BJ59" i="42"/>
  <c r="Y44" i="42"/>
  <c r="BK51" i="42"/>
  <c r="Y47" i="42"/>
  <c r="Y61" i="42"/>
  <c r="Y52" i="42"/>
  <c r="BJ47" i="42"/>
  <c r="BK52" i="42"/>
  <c r="Y63" i="42"/>
  <c r="Z64" i="42"/>
  <c r="Z60" i="42"/>
  <c r="BK60" i="42"/>
  <c r="BJ43" i="42"/>
  <c r="Y45" i="42"/>
  <c r="BK41" i="42"/>
  <c r="BK47" i="42"/>
  <c r="BK56" i="42"/>
  <c r="BJ54" i="42"/>
  <c r="BJ63" i="42"/>
  <c r="Y57" i="42"/>
  <c r="Y56" i="42"/>
  <c r="BK49" i="42"/>
  <c r="BJ55" i="42"/>
  <c r="BJ58" i="42"/>
  <c r="Y51" i="42"/>
  <c r="BJ46" i="42"/>
  <c r="BK44" i="42"/>
  <c r="BK39" i="42"/>
  <c r="BK63" i="42"/>
  <c r="BJ40" i="42"/>
  <c r="BJ45" i="42"/>
  <c r="Z47" i="42"/>
  <c r="BJ52" i="42"/>
  <c r="Z48" i="42"/>
  <c r="BK40" i="42"/>
  <c r="BJ41" i="42"/>
  <c r="BK62" i="42"/>
  <c r="Z62" i="42"/>
  <c r="Y58" i="42"/>
  <c r="Y50" i="42"/>
  <c r="Z61" i="42"/>
  <c r="Y60" i="42"/>
  <c r="Z46" i="42"/>
  <c r="BJ49" i="42"/>
  <c r="Z52" i="42"/>
  <c r="BJ51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44" i="1"/>
  <c r="M43" i="42" l="1"/>
  <c r="N42" i="42"/>
  <c r="N39" i="42"/>
  <c r="I39" i="42"/>
  <c r="L39" i="42" s="1"/>
  <c r="F39" i="42"/>
  <c r="BE45" i="1"/>
  <c r="BK38" i="42"/>
  <c r="BJ38" i="42"/>
  <c r="M44" i="42" l="1"/>
  <c r="N43" i="42"/>
  <c r="AT38" i="42"/>
  <c r="AW38" i="42" s="1"/>
  <c r="AQ38" i="42"/>
  <c r="AR38" i="42" s="1"/>
  <c r="BE46" i="1"/>
  <c r="M45" i="42" l="1"/>
  <c r="N44" i="42"/>
  <c r="S38" i="42" a="1"/>
  <c r="S38" i="42" s="1"/>
  <c r="BE47" i="1"/>
  <c r="BK37" i="42"/>
  <c r="BJ37" i="42"/>
  <c r="C80" i="42" l="1"/>
  <c r="O39" i="42"/>
  <c r="M46" i="42"/>
  <c r="N45" i="42"/>
  <c r="AT37" i="42"/>
  <c r="AW37" i="42" s="1"/>
  <c r="AQ37" i="42"/>
  <c r="AR37" i="42" s="1"/>
  <c r="BE48" i="1"/>
  <c r="M47" i="42" l="1"/>
  <c r="N46" i="42"/>
  <c r="O40" i="42"/>
  <c r="BE49" i="1"/>
  <c r="BJ36" i="42"/>
  <c r="BK36" i="42"/>
  <c r="O41" i="42" l="1"/>
  <c r="M48" i="42"/>
  <c r="N47" i="42"/>
  <c r="AT36" i="42"/>
  <c r="AW36" i="42" s="1"/>
  <c r="AQ36" i="42"/>
  <c r="AR36" i="42" s="1"/>
  <c r="BE50" i="1"/>
  <c r="M49" i="42" l="1"/>
  <c r="N48" i="42"/>
  <c r="O42" i="42"/>
  <c r="BE51" i="1"/>
  <c r="O43" i="42" l="1"/>
  <c r="M50" i="42"/>
  <c r="N49" i="42"/>
  <c r="BE52" i="1"/>
  <c r="BK35" i="42"/>
  <c r="BJ35" i="42"/>
  <c r="M51" i="42" l="1"/>
  <c r="N50" i="42"/>
  <c r="O44" i="42"/>
  <c r="AT35" i="42"/>
  <c r="AW35" i="42" s="1"/>
  <c r="AQ35" i="42"/>
  <c r="AR35" i="42" s="1"/>
  <c r="BE53" i="1"/>
  <c r="O45" i="42" l="1"/>
  <c r="M52" i="42"/>
  <c r="N51" i="42"/>
  <c r="BE54" i="1"/>
  <c r="O46" i="42" l="1"/>
  <c r="M53" i="42"/>
  <c r="N52" i="42"/>
  <c r="BE55" i="1"/>
  <c r="BJ34" i="42"/>
  <c r="BK34" i="42"/>
  <c r="M54" i="42" l="1"/>
  <c r="N53" i="42"/>
  <c r="O47" i="42"/>
  <c r="AT34" i="42"/>
  <c r="AW34" i="42" s="1"/>
  <c r="AQ34" i="42"/>
  <c r="AR34" i="42" s="1"/>
  <c r="BE56" i="1"/>
  <c r="O48" i="42" l="1"/>
  <c r="M55" i="42"/>
  <c r="N54" i="42"/>
  <c r="BE57" i="1"/>
  <c r="O49" i="42" l="1"/>
  <c r="M56" i="42"/>
  <c r="N55" i="42"/>
  <c r="BE58" i="1"/>
  <c r="BK33" i="42"/>
  <c r="BJ33" i="42"/>
  <c r="O50" i="42" l="1"/>
  <c r="M57" i="42"/>
  <c r="N56" i="42"/>
  <c r="AT33" i="42"/>
  <c r="AW33" i="42" s="1"/>
  <c r="AQ33" i="42"/>
  <c r="AR33" i="42" s="1"/>
  <c r="BE59" i="1"/>
  <c r="O51" i="42" l="1"/>
  <c r="M58" i="42"/>
  <c r="N57" i="42"/>
  <c r="BE60" i="1"/>
  <c r="O52" i="42" l="1"/>
  <c r="M59" i="42"/>
  <c r="N58" i="42"/>
  <c r="BE61" i="1"/>
  <c r="BJ32" i="42"/>
  <c r="BK32" i="42"/>
  <c r="O53" i="42" l="1"/>
  <c r="M60" i="42"/>
  <c r="N59" i="42"/>
  <c r="AT32" i="42"/>
  <c r="AW32" i="42" s="1"/>
  <c r="AQ32" i="42"/>
  <c r="AR32" i="42" s="1"/>
  <c r="BE62" i="1"/>
  <c r="M61" i="42" l="1"/>
  <c r="N60" i="42"/>
  <c r="O54" i="42"/>
  <c r="BE63" i="1"/>
  <c r="BK31" i="42"/>
  <c r="BJ31" i="42"/>
  <c r="O55" i="42" l="1"/>
  <c r="M62" i="42"/>
  <c r="N61" i="42"/>
  <c r="AT31" i="42"/>
  <c r="AW31" i="42" s="1"/>
  <c r="AQ31" i="42"/>
  <c r="AR31" i="42" s="1"/>
  <c r="BE64" i="1"/>
  <c r="M63" i="42" l="1"/>
  <c r="N62" i="42"/>
  <c r="O56" i="42"/>
  <c r="BE65" i="1"/>
  <c r="BK30" i="42"/>
  <c r="BJ30" i="42"/>
  <c r="M64" i="42" l="1"/>
  <c r="N63" i="42"/>
  <c r="O57" i="42"/>
  <c r="AT30" i="42"/>
  <c r="AW30" i="42" s="1"/>
  <c r="AQ30" i="42"/>
  <c r="AR30" i="42" s="1"/>
  <c r="BE66" i="1"/>
  <c r="M65" i="42" l="1"/>
  <c r="N64" i="42"/>
  <c r="O58" i="42"/>
  <c r="BE67" i="1"/>
  <c r="O59" i="42" l="1"/>
  <c r="M66" i="42"/>
  <c r="N65" i="42"/>
  <c r="BE68" i="1"/>
  <c r="BK29" i="42"/>
  <c r="BJ29" i="42"/>
  <c r="M67" i="42" l="1"/>
  <c r="N66" i="42"/>
  <c r="O60" i="42"/>
  <c r="AT29" i="42"/>
  <c r="AW29" i="42" s="1"/>
  <c r="AQ29" i="42"/>
  <c r="AR29" i="42" s="1"/>
  <c r="BE69" i="1"/>
  <c r="O61" i="42" l="1"/>
  <c r="M68" i="42"/>
  <c r="N67" i="42"/>
  <c r="BE70" i="1"/>
  <c r="BK28" i="42"/>
  <c r="BJ28" i="42"/>
  <c r="M69" i="42" l="1"/>
  <c r="N68" i="42"/>
  <c r="O62" i="42"/>
  <c r="AT28" i="42"/>
  <c r="AW28" i="42" s="1"/>
  <c r="AQ28" i="42"/>
  <c r="AR28" i="42" s="1"/>
  <c r="BE71" i="1"/>
  <c r="O63" i="42" l="1"/>
  <c r="M70" i="42"/>
  <c r="N69" i="42"/>
  <c r="BE72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73" i="1"/>
  <c r="O65" i="42" l="1"/>
  <c r="M32" i="42"/>
  <c r="N31" i="42"/>
  <c r="M72" i="42"/>
  <c r="N71" i="42"/>
  <c r="BE74" i="1"/>
  <c r="C27" i="42"/>
  <c r="BK26" i="42"/>
  <c r="BJ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75" i="1"/>
  <c r="Z26" i="42"/>
  <c r="Y26" i="42"/>
  <c r="C52" i="42" l="1"/>
  <c r="C75" i="42" s="1"/>
  <c r="M74" i="42"/>
  <c r="N73" i="42"/>
  <c r="O67" i="42"/>
  <c r="BE76" i="1"/>
  <c r="H26" i="42"/>
  <c r="F26" i="42" s="1"/>
  <c r="H27" i="42"/>
  <c r="G27" i="42"/>
  <c r="X31" i="42"/>
  <c r="F27" i="42"/>
  <c r="O68" i="42" l="1"/>
  <c r="M75" i="42"/>
  <c r="N74" i="42"/>
  <c r="BE77" i="1"/>
  <c r="X30" i="42"/>
  <c r="G26" i="42"/>
  <c r="H28" i="42"/>
  <c r="H29" i="42" s="1"/>
  <c r="G28" i="42"/>
  <c r="BJ25" i="42"/>
  <c r="AB31" i="42"/>
  <c r="AA31" i="42"/>
  <c r="Y31" i="42"/>
  <c r="Z31" i="42"/>
  <c r="BK25" i="42"/>
  <c r="H30" i="42"/>
  <c r="F29" i="42"/>
  <c r="G29" i="42"/>
  <c r="F30" i="42"/>
  <c r="G30" i="42"/>
  <c r="X34" i="42"/>
  <c r="H31" i="42"/>
  <c r="G31" i="42"/>
  <c r="F31" i="42"/>
  <c r="H32" i="42"/>
  <c r="X35" i="42"/>
  <c r="X36" i="42"/>
  <c r="F32" i="42"/>
  <c r="G32" i="42"/>
  <c r="H33" i="42"/>
  <c r="G33" i="42"/>
  <c r="F33" i="42"/>
  <c r="X37" i="42"/>
  <c r="H34" i="42"/>
  <c r="F34" i="42"/>
  <c r="G34" i="42"/>
  <c r="H35" i="42"/>
  <c r="X38" i="42"/>
  <c r="F35" i="42"/>
  <c r="G35" i="42"/>
  <c r="X39" i="42"/>
  <c r="H36" i="42"/>
  <c r="F36" i="42"/>
  <c r="X40" i="42"/>
  <c r="G36" i="42"/>
  <c r="I27" i="42" l="1"/>
  <c r="K27" i="42"/>
  <c r="M76" i="42"/>
  <c r="N75" i="42"/>
  <c r="O69" i="42"/>
  <c r="AT25" i="42"/>
  <c r="AW25" i="42" s="1"/>
  <c r="AQ25" i="42"/>
  <c r="AR25" i="42" s="1"/>
  <c r="BE78" i="1"/>
  <c r="X32" i="42"/>
  <c r="X33" i="42"/>
  <c r="F28" i="42"/>
  <c r="Z35" i="42"/>
  <c r="BJ24" i="42"/>
  <c r="Z30" i="42"/>
  <c r="Z36" i="42"/>
  <c r="AB39" i="42"/>
  <c r="AA36" i="42"/>
  <c r="Z37" i="42"/>
  <c r="AA34" i="42"/>
  <c r="AA37" i="42"/>
  <c r="AB37" i="42"/>
  <c r="Y34" i="42"/>
  <c r="AB30" i="42"/>
  <c r="BK24" i="42"/>
  <c r="Z40" i="42"/>
  <c r="AA40" i="42"/>
  <c r="AB40" i="42"/>
  <c r="Y39" i="42"/>
  <c r="AA39" i="42"/>
  <c r="AB38" i="42"/>
  <c r="Y36" i="42"/>
  <c r="Y38" i="42"/>
  <c r="AB36" i="42"/>
  <c r="Y37" i="42"/>
  <c r="Z34" i="42"/>
  <c r="AA30" i="42"/>
  <c r="AB34" i="42"/>
  <c r="Z38" i="42"/>
  <c r="AB35" i="42"/>
  <c r="AA38" i="42"/>
  <c r="Y30" i="42"/>
  <c r="Z39" i="42"/>
  <c r="Y35" i="42"/>
  <c r="AA35" i="42"/>
  <c r="Y40" i="42"/>
  <c r="L27" i="42" l="1"/>
  <c r="I31" i="42"/>
  <c r="I33" i="42"/>
  <c r="K26" i="42"/>
  <c r="K31" i="42"/>
  <c r="K33" i="42"/>
  <c r="K35" i="42"/>
  <c r="I26" i="42"/>
  <c r="L26" i="42" s="1"/>
  <c r="I35" i="42"/>
  <c r="K32" i="42"/>
  <c r="K36" i="42"/>
  <c r="I34" i="42"/>
  <c r="I36" i="42"/>
  <c r="I30" i="42"/>
  <c r="I32" i="42"/>
  <c r="K34" i="42"/>
  <c r="K30" i="42"/>
  <c r="O70" i="42"/>
  <c r="M77" i="42"/>
  <c r="N76" i="42"/>
  <c r="AT24" i="42"/>
  <c r="AW24" i="42" s="1"/>
  <c r="AQ24" i="42"/>
  <c r="AR24" i="42" s="1"/>
  <c r="BE79" i="1"/>
  <c r="AA33" i="42"/>
  <c r="AB32" i="42"/>
  <c r="AA32" i="42"/>
  <c r="Z32" i="42"/>
  <c r="AB33" i="42"/>
  <c r="Y33" i="42"/>
  <c r="BJ23" i="42"/>
  <c r="Z33" i="42"/>
  <c r="Y32" i="42"/>
  <c r="BK23" i="42"/>
  <c r="L33" i="42" l="1"/>
  <c r="L34" i="42"/>
  <c r="L31" i="42"/>
  <c r="L30" i="42"/>
  <c r="L35" i="42"/>
  <c r="L36" i="42"/>
  <c r="L32" i="42"/>
  <c r="K29" i="42"/>
  <c r="K28" i="42"/>
  <c r="I29" i="42"/>
  <c r="I28" i="42"/>
  <c r="M78" i="42"/>
  <c r="N77" i="42"/>
  <c r="O71" i="42"/>
  <c r="AT23" i="42"/>
  <c r="AW23" i="42" s="1"/>
  <c r="AQ23" i="42"/>
  <c r="AR23" i="42" s="1"/>
  <c r="BE80" i="1"/>
  <c r="Y23" i="42"/>
  <c r="L28" i="42" l="1"/>
  <c r="L29" i="42"/>
  <c r="E27" i="42"/>
  <c r="E26" i="42"/>
  <c r="E30" i="42"/>
  <c r="E29" i="42"/>
  <c r="E28" i="42"/>
  <c r="O72" i="42"/>
  <c r="M79" i="42"/>
  <c r="N78" i="42"/>
  <c r="I23" i="42"/>
  <c r="L23" i="42" s="1"/>
  <c r="C76" i="42" s="1"/>
  <c r="BE81" i="1"/>
  <c r="BJ22" i="42"/>
  <c r="BK22" i="42"/>
  <c r="E34" i="42" l="1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82" i="1"/>
  <c r="Z22" i="42"/>
  <c r="Y22" i="42"/>
  <c r="P64" i="42" l="1"/>
  <c r="R64" i="42" s="1"/>
  <c r="P72" i="42"/>
  <c r="R72" i="42" s="1"/>
  <c r="P68" i="42"/>
  <c r="R68" i="42" s="1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25" i="42" a="1"/>
  <c r="S25" i="42" s="1"/>
  <c r="P70" i="42"/>
  <c r="I22" i="42"/>
  <c r="L22" i="42" s="1"/>
  <c r="C63" i="42" s="1"/>
  <c r="F22" i="42"/>
  <c r="BE83" i="1"/>
  <c r="BK21" i="42"/>
  <c r="BJ21" i="42"/>
  <c r="S68" i="42" l="1"/>
  <c r="S64" i="42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84" i="1"/>
  <c r="BK20" i="42"/>
  <c r="BJ20" i="42"/>
  <c r="O76" i="42" l="1"/>
  <c r="P75" i="42"/>
  <c r="S74" i="42"/>
  <c r="R74" i="42"/>
  <c r="O27" i="42"/>
  <c r="P26" i="42"/>
  <c r="AT20" i="42"/>
  <c r="AW20" i="42" s="1"/>
  <c r="AQ20" i="42"/>
  <c r="AR20" i="42" s="1"/>
  <c r="BE85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86" i="1"/>
  <c r="Y19" i="42"/>
  <c r="Z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87" i="1"/>
  <c r="BJ18" i="42"/>
  <c r="BK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88" i="1"/>
  <c r="Z18" i="42"/>
  <c r="Y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89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90" i="1"/>
  <c r="Y17" i="42"/>
  <c r="Z17" i="42"/>
  <c r="O33" i="42" l="1"/>
  <c r="P32" i="42"/>
  <c r="R31" i="42"/>
  <c r="S31" i="42"/>
  <c r="I17" i="42"/>
  <c r="L17" i="42" s="1"/>
  <c r="F17" i="42"/>
  <c r="BE91" i="1"/>
  <c r="BJ16" i="42"/>
  <c r="BK16" i="42"/>
  <c r="O34" i="42" l="1"/>
  <c r="P33" i="42"/>
  <c r="R32" i="42"/>
  <c r="S32" i="42"/>
  <c r="AT16" i="42"/>
  <c r="AW16" i="42" s="1"/>
  <c r="AQ16" i="42"/>
  <c r="AR16" i="42" s="1"/>
  <c r="BE92" i="1"/>
  <c r="Y16" i="42"/>
  <c r="Z16" i="42"/>
  <c r="O35" i="42" l="1"/>
  <c r="P34" i="42"/>
  <c r="S33" i="42"/>
  <c r="R33" i="42"/>
  <c r="I16" i="42"/>
  <c r="L16" i="42" s="1"/>
  <c r="F16" i="42"/>
  <c r="BE93" i="1"/>
  <c r="BK15" i="42"/>
  <c r="BJ15" i="42"/>
  <c r="O36" i="42" l="1"/>
  <c r="P36" i="42" s="1"/>
  <c r="P35" i="42"/>
  <c r="R34" i="42"/>
  <c r="S34" i="42"/>
  <c r="AT15" i="42"/>
  <c r="AW15" i="42" s="1"/>
  <c r="AQ15" i="42"/>
  <c r="AR15" i="42" s="1"/>
  <c r="BE94" i="1"/>
  <c r="Z15" i="42"/>
  <c r="Y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BE95" i="1"/>
  <c r="BJ10" i="42"/>
  <c r="Y11" i="42"/>
  <c r="Y9" i="42"/>
  <c r="Z6" i="42"/>
  <c r="BK9" i="42"/>
  <c r="Y5" i="42"/>
  <c r="Y10" i="42"/>
  <c r="Y7" i="42"/>
  <c r="Z9" i="42"/>
  <c r="BJ9" i="42"/>
  <c r="BK12" i="42"/>
  <c r="Y4" i="42"/>
  <c r="BK4" i="42"/>
  <c r="BJ5" i="42"/>
  <c r="Y14" i="42"/>
  <c r="BJ14" i="42"/>
  <c r="Z4" i="42"/>
  <c r="Z14" i="42"/>
  <c r="BJ8" i="42"/>
  <c r="Y12" i="42"/>
  <c r="BJ13" i="42"/>
  <c r="Y13" i="42"/>
  <c r="BJ12" i="42"/>
  <c r="Z11" i="42"/>
  <c r="BK11" i="42"/>
  <c r="BK8" i="42"/>
  <c r="Z10" i="42"/>
  <c r="Z5" i="42"/>
  <c r="Z12" i="42"/>
  <c r="Y6" i="42"/>
  <c r="BJ11" i="42"/>
  <c r="BK10" i="42"/>
  <c r="Y8" i="42"/>
  <c r="BK5" i="42"/>
  <c r="Z13" i="42"/>
  <c r="Z8" i="42"/>
  <c r="BJ4" i="42"/>
  <c r="Z7" i="42"/>
  <c r="BK13" i="42"/>
  <c r="BK14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AY4" i="42"/>
  <c r="BE96" i="1"/>
  <c r="AX7" i="42" l="1"/>
  <c r="AY6" i="42"/>
  <c r="M4" i="42"/>
  <c r="M5" i="42" s="1"/>
  <c r="I4" i="42"/>
  <c r="L4" i="42" s="1"/>
  <c r="F4" i="42"/>
  <c r="BE97" i="1"/>
  <c r="BJ3" i="42"/>
  <c r="BK3" i="42"/>
  <c r="N4" i="42" l="1"/>
  <c r="M6" i="42"/>
  <c r="N5" i="42"/>
  <c r="AX8" i="42"/>
  <c r="AY7" i="42"/>
  <c r="AY3" i="42"/>
  <c r="AT3" i="42"/>
  <c r="AW3" i="42" s="1"/>
  <c r="AQ3" i="42"/>
  <c r="AR3" i="42" s="1"/>
  <c r="BE98" i="1"/>
  <c r="Y3" i="42"/>
  <c r="Z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99" i="1"/>
  <c r="AN11" i="42" l="1"/>
  <c r="AZ3" i="42"/>
  <c r="C78" i="42"/>
  <c r="AX10" i="42"/>
  <c r="AY9" i="42"/>
  <c r="O3" i="42"/>
  <c r="M8" i="42"/>
  <c r="N7" i="42"/>
  <c r="BE100" i="1"/>
  <c r="M9" i="42" l="1"/>
  <c r="N8" i="42"/>
  <c r="O4" i="42"/>
  <c r="AZ4" i="42"/>
  <c r="AX11" i="42"/>
  <c r="AY10" i="42"/>
  <c r="BE101" i="1"/>
  <c r="AZ5" i="42" l="1"/>
  <c r="O5" i="42"/>
  <c r="AX12" i="42"/>
  <c r="AY11" i="42"/>
  <c r="M10" i="42"/>
  <c r="N9" i="42"/>
  <c r="BE102" i="1"/>
  <c r="O6" i="42" l="1"/>
  <c r="AX13" i="42"/>
  <c r="AY12" i="42"/>
  <c r="M11" i="42"/>
  <c r="N10" i="42"/>
  <c r="AZ6" i="42"/>
  <c r="BE103" i="1"/>
  <c r="AX14" i="42" l="1"/>
  <c r="AY13" i="42"/>
  <c r="AZ7" i="42"/>
  <c r="M12" i="42"/>
  <c r="N11" i="42"/>
  <c r="O7" i="42"/>
  <c r="BE104" i="1"/>
  <c r="M13" i="42" l="1"/>
  <c r="N12" i="42"/>
  <c r="AZ8" i="42"/>
  <c r="O8" i="42"/>
  <c r="AX15" i="42"/>
  <c r="AY14" i="42"/>
  <c r="BE105" i="1"/>
  <c r="AX16" i="42" l="1"/>
  <c r="AY15" i="42"/>
  <c r="AZ9" i="42"/>
  <c r="O9" i="42"/>
  <c r="M14" i="42"/>
  <c r="N13" i="42"/>
  <c r="BE106" i="1"/>
  <c r="O10" i="42" l="1"/>
  <c r="AX17" i="42"/>
  <c r="AY16" i="42"/>
  <c r="M15" i="42"/>
  <c r="N14" i="42"/>
  <c r="AZ10" i="42"/>
  <c r="BE107" i="1"/>
  <c r="AZ11" i="42" l="1"/>
  <c r="M16" i="42"/>
  <c r="N15" i="42"/>
  <c r="O11" i="42"/>
  <c r="AX18" i="42"/>
  <c r="AY17" i="42"/>
  <c r="BE108" i="1"/>
  <c r="O12" i="42" l="1"/>
  <c r="AX19" i="42"/>
  <c r="AY18" i="42"/>
  <c r="M17" i="42"/>
  <c r="N16" i="42"/>
  <c r="AZ12" i="42"/>
  <c r="BE109" i="1"/>
  <c r="AZ13" i="42" l="1"/>
  <c r="M18" i="42"/>
  <c r="M19" i="42" s="1"/>
  <c r="N17" i="42"/>
  <c r="P12" i="42" s="1"/>
  <c r="Q12" i="42" s="1"/>
  <c r="P6" i="42"/>
  <c r="AX20" i="42"/>
  <c r="AY19" i="42"/>
  <c r="P8" i="42"/>
  <c r="O13" i="42"/>
  <c r="BE110" i="1"/>
  <c r="P10" i="42" l="1"/>
  <c r="S10" i="42" s="1"/>
  <c r="S6" i="42"/>
  <c r="R6" i="42"/>
  <c r="Q6" i="42"/>
  <c r="P3" i="42"/>
  <c r="P4" i="42"/>
  <c r="P5" i="42"/>
  <c r="P9" i="42"/>
  <c r="P7" i="42"/>
  <c r="S12" i="42"/>
  <c r="R12" i="42"/>
  <c r="P11" i="42"/>
  <c r="AX21" i="42"/>
  <c r="AY20" i="42"/>
  <c r="R8" i="42"/>
  <c r="S8" i="42"/>
  <c r="Q8" i="42"/>
  <c r="O14" i="42"/>
  <c r="P13" i="42"/>
  <c r="Q13" i="42" s="1"/>
  <c r="AZ14" i="42"/>
  <c r="BE111" i="1"/>
  <c r="Q10" i="42" l="1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112" i="1"/>
  <c r="AX23" i="42" l="1"/>
  <c r="AY22" i="42"/>
  <c r="S14" i="42"/>
  <c r="R14" i="42"/>
  <c r="Q14" i="42"/>
  <c r="AZ16" i="42"/>
  <c r="O16" i="42"/>
  <c r="P15" i="42"/>
  <c r="Q15" i="42" s="1"/>
  <c r="BE113" i="1"/>
  <c r="S15" i="42" l="1"/>
  <c r="R15" i="42"/>
  <c r="AX24" i="42"/>
  <c r="AY23" i="42"/>
  <c r="O17" i="42"/>
  <c r="P16" i="42"/>
  <c r="Q16" i="42" s="1"/>
  <c r="AZ17" i="42"/>
  <c r="BE114" i="1"/>
  <c r="AZ18" i="42" l="1"/>
  <c r="AX25" i="42"/>
  <c r="AY24" i="42"/>
  <c r="R16" i="42"/>
  <c r="S16" i="42"/>
  <c r="O18" i="42"/>
  <c r="P17" i="42"/>
  <c r="Q17" i="42" s="1"/>
  <c r="BE115" i="1"/>
  <c r="AX26" i="42" l="1"/>
  <c r="AY25" i="42"/>
  <c r="O19" i="42"/>
  <c r="Q18" i="42"/>
  <c r="P18" i="42"/>
  <c r="R17" i="42"/>
  <c r="S17" i="42"/>
  <c r="AZ19" i="42"/>
  <c r="BE116" i="1"/>
  <c r="U4" i="42" a="1"/>
  <c r="U19" i="42" l="1"/>
  <c r="V9" i="42"/>
  <c r="V15" i="42"/>
  <c r="V48" i="42"/>
  <c r="V77" i="42"/>
  <c r="U44" i="42"/>
  <c r="V55" i="42"/>
  <c r="U60" i="42"/>
  <c r="U40" i="42"/>
  <c r="U61" i="42"/>
  <c r="V34" i="42"/>
  <c r="U30" i="42"/>
  <c r="U48" i="42"/>
  <c r="U69" i="42"/>
  <c r="V66" i="42"/>
  <c r="U41" i="42"/>
  <c r="U7" i="42"/>
  <c r="U74" i="42"/>
  <c r="U79" i="42"/>
  <c r="V44" i="42"/>
  <c r="V73" i="42"/>
  <c r="U47" i="42"/>
  <c r="V19" i="42"/>
  <c r="U22" i="42"/>
  <c r="V24" i="42"/>
  <c r="V75" i="42"/>
  <c r="V72" i="42"/>
  <c r="U67" i="42"/>
  <c r="V17" i="42"/>
  <c r="V59" i="42"/>
  <c r="U39" i="42"/>
  <c r="V51" i="42"/>
  <c r="U52" i="42"/>
  <c r="V29" i="42"/>
  <c r="V46" i="42"/>
  <c r="V32" i="42"/>
  <c r="U63" i="42"/>
  <c r="U25" i="42"/>
  <c r="V56" i="42"/>
  <c r="U17" i="42"/>
  <c r="U76" i="42"/>
  <c r="V57" i="42"/>
  <c r="V4" i="42"/>
  <c r="V35" i="42"/>
  <c r="V12" i="42"/>
  <c r="V41" i="42"/>
  <c r="U10" i="42"/>
  <c r="V80" i="42"/>
  <c r="V7" i="42"/>
  <c r="V27" i="42"/>
  <c r="U62" i="42"/>
  <c r="V8" i="42"/>
  <c r="U72" i="42"/>
  <c r="U27" i="42"/>
  <c r="V47" i="42"/>
  <c r="V50" i="42"/>
  <c r="U80" i="42"/>
  <c r="V11" i="42"/>
  <c r="V10" i="42"/>
  <c r="U73" i="42"/>
  <c r="U24" i="42"/>
  <c r="U28" i="42"/>
  <c r="U20" i="42"/>
  <c r="V25" i="42"/>
  <c r="V62" i="42"/>
  <c r="V76" i="42"/>
  <c r="U54" i="42"/>
  <c r="U56" i="42"/>
  <c r="V49" i="42"/>
  <c r="V28" i="42"/>
  <c r="V61" i="42"/>
  <c r="V40" i="42"/>
  <c r="U75" i="42"/>
  <c r="U18" i="42"/>
  <c r="U36" i="42"/>
  <c r="U57" i="42"/>
  <c r="V30" i="42"/>
  <c r="V67" i="42"/>
  <c r="V36" i="42"/>
  <c r="V18" i="42"/>
  <c r="V52" i="42"/>
  <c r="V14" i="42"/>
  <c r="V54" i="42"/>
  <c r="U42" i="42"/>
  <c r="V60" i="42"/>
  <c r="V58" i="42"/>
  <c r="V71" i="42"/>
  <c r="V78" i="42"/>
  <c r="V68" i="42"/>
  <c r="U49" i="42"/>
  <c r="U23" i="42"/>
  <c r="U64" i="42"/>
  <c r="V42" i="42"/>
  <c r="U71" i="42"/>
  <c r="V16" i="42"/>
  <c r="V45" i="42"/>
  <c r="U12" i="42"/>
  <c r="V53" i="42"/>
  <c r="U31" i="42"/>
  <c r="U8" i="42"/>
  <c r="U58" i="42"/>
  <c r="V38" i="42"/>
  <c r="U16" i="42"/>
  <c r="U66" i="42"/>
  <c r="U9" i="42"/>
  <c r="U70" i="42"/>
  <c r="U46" i="42"/>
  <c r="U78" i="42"/>
  <c r="U4" i="42"/>
  <c r="V20" i="42"/>
  <c r="V33" i="42"/>
  <c r="V26" i="42"/>
  <c r="U21" i="42"/>
  <c r="U50" i="42"/>
  <c r="U68" i="42"/>
  <c r="V70" i="42"/>
  <c r="V23" i="42"/>
  <c r="U33" i="42"/>
  <c r="U45" i="42"/>
  <c r="V69" i="42"/>
  <c r="V22" i="42"/>
  <c r="V31" i="42"/>
  <c r="U65" i="42"/>
  <c r="U51" i="42"/>
  <c r="V74" i="42"/>
  <c r="V79" i="42"/>
  <c r="V64" i="42"/>
  <c r="U6" i="42"/>
  <c r="U13" i="42"/>
  <c r="V5" i="42"/>
  <c r="U77" i="42"/>
  <c r="U32" i="42"/>
  <c r="U53" i="42"/>
  <c r="V6" i="42"/>
  <c r="U43" i="42"/>
  <c r="V13" i="42"/>
  <c r="V39" i="42"/>
  <c r="U55" i="42"/>
  <c r="V65" i="42"/>
  <c r="U14" i="42"/>
  <c r="V43" i="42"/>
  <c r="U26" i="42"/>
  <c r="V21" i="42"/>
  <c r="V37" i="42"/>
  <c r="U5" i="42"/>
  <c r="U34" i="42"/>
  <c r="U11" i="42"/>
  <c r="U38" i="42"/>
  <c r="V63" i="42"/>
  <c r="U35" i="42"/>
  <c r="U59" i="42"/>
  <c r="U29" i="42"/>
  <c r="U37" i="42"/>
  <c r="U15" i="42"/>
  <c r="AX27" i="42"/>
  <c r="AY26" i="42"/>
  <c r="AZ20" i="42"/>
  <c r="S18" i="42"/>
  <c r="R18" i="42"/>
  <c r="Q19" i="42"/>
  <c r="P19" i="42"/>
  <c r="BE117" i="1"/>
  <c r="AZ21" i="42" l="1"/>
  <c r="R19" i="42"/>
  <c r="S19" i="42"/>
  <c r="AX28" i="42"/>
  <c r="AY27" i="42"/>
  <c r="BE118" i="1"/>
  <c r="AX29" i="42" l="1"/>
  <c r="AY28" i="42"/>
  <c r="AZ22" i="42"/>
  <c r="BE119" i="1"/>
  <c r="AZ23" i="42" l="1"/>
  <c r="AX30" i="42"/>
  <c r="AY29" i="42"/>
  <c r="BE120" i="1"/>
  <c r="AZ24" i="42" l="1"/>
  <c r="AX31" i="42"/>
  <c r="AY30" i="42"/>
  <c r="BE121" i="1"/>
  <c r="AX32" i="42" l="1"/>
  <c r="AY31" i="42"/>
  <c r="AZ25" i="42"/>
  <c r="BE122" i="1"/>
  <c r="AZ26" i="42" l="1"/>
  <c r="AX33" i="42"/>
  <c r="AY32" i="42"/>
  <c r="BE123" i="1"/>
  <c r="AX34" i="42" l="1"/>
  <c r="AY33" i="42"/>
  <c r="AZ27" i="42"/>
  <c r="BE124" i="1"/>
  <c r="AZ28" i="42" l="1"/>
  <c r="AX35" i="42"/>
  <c r="AY34" i="42"/>
  <c r="BE125" i="1"/>
  <c r="AX36" i="42" l="1"/>
  <c r="AY35" i="42"/>
  <c r="AZ29" i="42"/>
  <c r="BE126" i="1"/>
  <c r="AX37" i="42" l="1"/>
  <c r="AY36" i="42"/>
  <c r="AZ30" i="42"/>
  <c r="BE127" i="1"/>
  <c r="AX38" i="42" l="1"/>
  <c r="AY37" i="42"/>
  <c r="AZ31" i="42"/>
  <c r="BE128" i="1"/>
  <c r="AZ32" i="42" l="1"/>
  <c r="AX39" i="42"/>
  <c r="AY38" i="42"/>
  <c r="BE129" i="1"/>
  <c r="AX40" i="42" l="1"/>
  <c r="AY39" i="42"/>
  <c r="AZ33" i="42"/>
  <c r="BE130" i="1"/>
  <c r="AZ34" i="42" l="1"/>
  <c r="AX41" i="42"/>
  <c r="AY40" i="42"/>
  <c r="BE131" i="1"/>
  <c r="AZ35" i="42" l="1"/>
  <c r="AX42" i="42"/>
  <c r="AY41" i="42"/>
  <c r="BE132" i="1"/>
  <c r="AX43" i="42" l="1"/>
  <c r="AY42" i="42"/>
  <c r="AZ36" i="42"/>
  <c r="BE133" i="1"/>
  <c r="AZ37" i="42" l="1"/>
  <c r="AX44" i="42"/>
  <c r="AY43" i="42"/>
  <c r="BE134" i="1"/>
  <c r="AX45" i="42" l="1"/>
  <c r="AY44" i="42"/>
  <c r="AZ38" i="42"/>
  <c r="BE135" i="1"/>
  <c r="AZ39" i="42" l="1"/>
  <c r="AX46" i="42"/>
  <c r="AY45" i="42"/>
  <c r="BE136" i="1"/>
  <c r="AX47" i="42" l="1"/>
  <c r="AY46" i="42"/>
  <c r="AZ40" i="42"/>
  <c r="BE137" i="1"/>
  <c r="AZ41" i="42" l="1"/>
  <c r="AX48" i="42"/>
  <c r="AY47" i="42"/>
  <c r="BE138" i="1"/>
  <c r="AX49" i="42" l="1"/>
  <c r="AY48" i="42"/>
  <c r="AZ42" i="42"/>
  <c r="BE139" i="1"/>
  <c r="AZ43" i="42" l="1"/>
  <c r="AX50" i="42"/>
  <c r="AY49" i="42"/>
  <c r="BE140" i="1"/>
  <c r="AX51" i="42" l="1"/>
  <c r="AY50" i="42"/>
  <c r="AZ44" i="42"/>
  <c r="BE141" i="1"/>
  <c r="AX52" i="42" l="1"/>
  <c r="AY51" i="42"/>
  <c r="AZ45" i="42"/>
  <c r="BE142" i="1"/>
  <c r="AZ46" i="42" l="1"/>
  <c r="AX53" i="42"/>
  <c r="AY52" i="42"/>
  <c r="BE143" i="1"/>
  <c r="AX54" i="42" l="1"/>
  <c r="AY53" i="42"/>
  <c r="AZ47" i="42"/>
  <c r="BE144" i="1"/>
  <c r="AZ48" i="42" l="1"/>
  <c r="AX55" i="42"/>
  <c r="AY54" i="42"/>
  <c r="BE145" i="1"/>
  <c r="AX56" i="42" l="1"/>
  <c r="AY55" i="42"/>
  <c r="AZ49" i="42"/>
  <c r="BE146" i="1"/>
  <c r="AZ50" i="42" l="1"/>
  <c r="AX57" i="42"/>
  <c r="AY56" i="42"/>
  <c r="BE147" i="1"/>
  <c r="AX58" i="42" l="1"/>
  <c r="AY57" i="42"/>
  <c r="AZ51" i="42"/>
  <c r="BE148" i="1"/>
  <c r="AZ52" i="42" l="1"/>
  <c r="AX59" i="42"/>
  <c r="AY58" i="42"/>
  <c r="BE149" i="1"/>
  <c r="AX60" i="42" l="1"/>
  <c r="AY59" i="42"/>
  <c r="AZ53" i="42"/>
  <c r="BE150" i="1"/>
  <c r="AZ54" i="42" l="1"/>
  <c r="AX61" i="42"/>
  <c r="AY60" i="42"/>
  <c r="BE151" i="1"/>
  <c r="AX62" i="42" l="1"/>
  <c r="AY61" i="42"/>
  <c r="AZ55" i="42"/>
  <c r="BE152" i="1"/>
  <c r="AZ56" i="42" l="1"/>
  <c r="AX63" i="42"/>
  <c r="AY62" i="42"/>
  <c r="BE153" i="1"/>
  <c r="AX64" i="42" l="1"/>
  <c r="AY64" i="42" s="1"/>
  <c r="AY63" i="42"/>
  <c r="BA50" i="42" s="1"/>
  <c r="AZ57" i="42"/>
  <c r="BE154" i="1"/>
  <c r="BA56" i="42" l="1"/>
  <c r="BD56" i="42" s="1"/>
  <c r="BC50" i="42"/>
  <c r="BD50" i="42"/>
  <c r="BB50" i="42"/>
  <c r="BB56" i="42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155" i="1"/>
  <c r="BC56" i="42" l="1"/>
  <c r="BD41" i="42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156" i="1"/>
  <c r="BD58" i="42" l="1"/>
  <c r="BC58" i="42"/>
  <c r="AZ60" i="42"/>
  <c r="BA59" i="42"/>
  <c r="BE157" i="1"/>
  <c r="BD59" i="42" l="1"/>
  <c r="BC59" i="42"/>
  <c r="BB59" i="42"/>
  <c r="AZ61" i="42"/>
  <c r="BA60" i="42"/>
  <c r="BB60" i="42" s="1"/>
  <c r="BE158" i="1"/>
  <c r="BD60" i="42" l="1"/>
  <c r="BC60" i="42"/>
  <c r="AZ62" i="42"/>
  <c r="BA61" i="42"/>
  <c r="BE159" i="1"/>
  <c r="BD61" i="42" l="1"/>
  <c r="BC61" i="42"/>
  <c r="BB61" i="42"/>
  <c r="AZ63" i="42"/>
  <c r="BA62" i="42"/>
  <c r="BE160" i="1"/>
  <c r="BD62" i="42" l="1"/>
  <c r="BC62" i="42"/>
  <c r="AZ64" i="42"/>
  <c r="BA63" i="42"/>
  <c r="BB63" i="42" s="1"/>
  <c r="BB62" i="42"/>
  <c r="BE161" i="1"/>
  <c r="BD63" i="42" l="1"/>
  <c r="BC63" i="42"/>
  <c r="BA64" i="42"/>
  <c r="BE162" i="1"/>
  <c r="BC64" i="42" l="1"/>
  <c r="BD64" i="42"/>
  <c r="BB64" i="42"/>
  <c r="BE163" i="1"/>
  <c r="AV17" i="1" l="1"/>
  <c r="AV25" i="1"/>
  <c r="AV33" i="1"/>
  <c r="AV41" i="1"/>
  <c r="AV49" i="1"/>
  <c r="AV57" i="1"/>
  <c r="AV65" i="1"/>
  <c r="AV73" i="1"/>
  <c r="AV81" i="1"/>
  <c r="AV11" i="1"/>
  <c r="AV19" i="1"/>
  <c r="AV27" i="1"/>
  <c r="AV35" i="1"/>
  <c r="AV43" i="1"/>
  <c r="AV51" i="1"/>
  <c r="AV59" i="1"/>
  <c r="AV67" i="1"/>
  <c r="AV75" i="1"/>
  <c r="AV83" i="1"/>
  <c r="AV15" i="1"/>
  <c r="AV23" i="1"/>
  <c r="AV31" i="1"/>
  <c r="AV39" i="1"/>
  <c r="AV47" i="1"/>
  <c r="AV55" i="1"/>
  <c r="AV63" i="1"/>
  <c r="AV71" i="1"/>
  <c r="AV79" i="1"/>
  <c r="AV87" i="1"/>
  <c r="AV14" i="1"/>
  <c r="AV28" i="1"/>
  <c r="AV40" i="1"/>
  <c r="AV53" i="1"/>
  <c r="AV66" i="1"/>
  <c r="AV78" i="1"/>
  <c r="AV16" i="1"/>
  <c r="AV42" i="1"/>
  <c r="AV54" i="1"/>
  <c r="AV80" i="1"/>
  <c r="AV32" i="1"/>
  <c r="AV84" i="1"/>
  <c r="AV46" i="1"/>
  <c r="AV61" i="1"/>
  <c r="AV29" i="1"/>
  <c r="AV68" i="1"/>
  <c r="AV58" i="1"/>
  <c r="AV34" i="1"/>
  <c r="AV22" i="1"/>
  <c r="AV86" i="1"/>
  <c r="AV18" i="1"/>
  <c r="AV30" i="1"/>
  <c r="AV44" i="1"/>
  <c r="AV56" i="1"/>
  <c r="AV69" i="1"/>
  <c r="AV82" i="1"/>
  <c r="AV20" i="1"/>
  <c r="AV45" i="1"/>
  <c r="AV60" i="1"/>
  <c r="AV85" i="1"/>
  <c r="AV48" i="1"/>
  <c r="AV70" i="1"/>
  <c r="AV21" i="1"/>
  <c r="AV72" i="1"/>
  <c r="AV36" i="1"/>
  <c r="AV74" i="1"/>
  <c r="AV12" i="1"/>
  <c r="AV24" i="1"/>
  <c r="AV37" i="1"/>
  <c r="AV50" i="1"/>
  <c r="AV62" i="1"/>
  <c r="AV76" i="1"/>
  <c r="AV13" i="1"/>
  <c r="AV26" i="1"/>
  <c r="AV38" i="1"/>
  <c r="AV52" i="1"/>
  <c r="AV64" i="1"/>
  <c r="AV77" i="1"/>
  <c r="BE164" i="1"/>
  <c r="BE165" i="1" s="1"/>
  <c r="BE166" i="1"/>
  <c r="BE167" i="1"/>
  <c r="BE168" i="1"/>
  <c r="BE169" i="1"/>
  <c r="BE170" i="1"/>
  <c r="BE171" i="1"/>
  <c r="BE172" i="1"/>
  <c r="BE173" i="1" s="1"/>
  <c r="BE174" i="1"/>
  <c r="BE175" i="1" s="1"/>
  <c r="BE176" i="1" s="1"/>
  <c r="BE177" i="1" s="1"/>
  <c r="BE178" i="1" s="1"/>
  <c r="BE179" i="1" s="1"/>
  <c r="BE180" i="1" s="1"/>
  <c r="BE181" i="1" s="1"/>
  <c r="BE182" i="1" s="1"/>
  <c r="BE183" i="1"/>
  <c r="BE184" i="1" s="1"/>
  <c r="BE185" i="1" s="1"/>
  <c r="BE186" i="1" s="1"/>
  <c r="BE187" i="1" s="1"/>
  <c r="BE188" i="1" s="1"/>
  <c r="BE189" i="1" s="1"/>
  <c r="BE190" i="1" s="1"/>
  <c r="BE191" i="1" s="1"/>
  <c r="BE192" i="1" s="1"/>
  <c r="BE193" i="1" s="1"/>
  <c r="BE194" i="1" s="1"/>
  <c r="BE195" i="1" s="1"/>
  <c r="BE196" i="1" s="1"/>
  <c r="BE197" i="1" s="1"/>
  <c r="BE198" i="1" s="1"/>
  <c r="BE199" i="1" s="1"/>
  <c r="BE200" i="1" s="1"/>
  <c r="BE201" i="1" s="1"/>
  <c r="BE202" i="1" s="1"/>
  <c r="BE203" i="1" s="1"/>
  <c r="BE204" i="1" s="1"/>
  <c r="BE205" i="1" s="1"/>
  <c r="BE206" i="1" s="1"/>
  <c r="BE207" i="1"/>
  <c r="BE208" i="1" s="1"/>
  <c r="BE209" i="1" s="1"/>
  <c r="BE210" i="1" s="1"/>
  <c r="BE211" i="1" s="1"/>
  <c r="BE212" i="1" s="1"/>
  <c r="BE213" i="1" s="1"/>
  <c r="BE214" i="1" s="1"/>
  <c r="BE215" i="1"/>
  <c r="BE216" i="1" s="1"/>
  <c r="BE217" i="1" s="1"/>
  <c r="BE218" i="1" s="1"/>
  <c r="BE219" i="1" s="1"/>
  <c r="BE220" i="1" s="1"/>
  <c r="BE221" i="1" s="1"/>
  <c r="BE222" i="1" s="1"/>
  <c r="BE223" i="1" s="1"/>
  <c r="BE224" i="1" s="1"/>
  <c r="BE225" i="1" s="1"/>
  <c r="BE226" i="1" s="1"/>
  <c r="BE227" i="1" s="1"/>
  <c r="BE228" i="1" s="1"/>
  <c r="BE229" i="1" s="1"/>
  <c r="BE230" i="1" s="1"/>
  <c r="BE231" i="1"/>
  <c r="BE232" i="1" s="1"/>
  <c r="BE233" i="1" s="1"/>
  <c r="BE234" i="1" s="1"/>
  <c r="BE235" i="1" s="1"/>
  <c r="BE236" i="1" s="1"/>
  <c r="BE237" i="1" s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/>
  <c r="BE256" i="1" s="1"/>
  <c r="BE257" i="1" s="1"/>
  <c r="BE258" i="1" s="1"/>
  <c r="BE259" i="1" s="1"/>
  <c r="BE260" i="1" s="1"/>
  <c r="BE261" i="1" s="1"/>
  <c r="BE262" i="1" s="1"/>
  <c r="BE263" i="1" s="1"/>
  <c r="BE264" i="1" s="1"/>
  <c r="BE265" i="1" s="1"/>
  <c r="BE266" i="1" s="1"/>
  <c r="BE267" i="1" s="1"/>
  <c r="BE268" i="1" s="1"/>
  <c r="BE269" i="1" s="1"/>
  <c r="BE270" i="1" s="1"/>
  <c r="BE271" i="1" s="1"/>
  <c r="BE272" i="1" s="1"/>
  <c r="BE273" i="1" s="1"/>
  <c r="BE274" i="1" s="1"/>
  <c r="BE275" i="1" s="1"/>
  <c r="BE276" i="1" s="1"/>
  <c r="BE277" i="1" s="1"/>
  <c r="BE278" i="1" s="1"/>
  <c r="BE279" i="1"/>
  <c r="BE280" i="1" s="1"/>
  <c r="BE281" i="1" s="1"/>
  <c r="BE282" i="1" s="1"/>
  <c r="BE283" i="1" s="1"/>
  <c r="BE284" i="1" s="1"/>
  <c r="BE285" i="1" s="1"/>
  <c r="BE286" i="1" s="1"/>
  <c r="BE287" i="1" s="1"/>
  <c r="BE288" i="1" s="1"/>
  <c r="BE289" i="1" s="1"/>
  <c r="BE290" i="1" s="1"/>
  <c r="BE291" i="1" s="1"/>
  <c r="BE292" i="1" s="1"/>
  <c r="BE293" i="1" s="1"/>
  <c r="BE294" i="1" s="1"/>
  <c r="BE295" i="1" s="1"/>
  <c r="BE296" i="1" s="1"/>
  <c r="BE297" i="1" s="1"/>
  <c r="BE298" i="1" s="1"/>
  <c r="BE299" i="1" s="1"/>
  <c r="BE300" i="1" s="1"/>
  <c r="BE301" i="1" s="1"/>
  <c r="BE302" i="1" s="1"/>
  <c r="BE303" i="1" s="1"/>
  <c r="BE304" i="1" s="1"/>
  <c r="BE305" i="1" s="1"/>
  <c r="BE306" i="1" s="1"/>
  <c r="BE307" i="1" s="1"/>
  <c r="BE308" i="1" s="1"/>
  <c r="BE309" i="1" s="1"/>
  <c r="BE310" i="1" s="1"/>
  <c r="BE311" i="1"/>
  <c r="BE312" i="1" s="1"/>
  <c r="BE313" i="1" s="1"/>
  <c r="BE314" i="1" s="1"/>
  <c r="BE315" i="1" s="1"/>
  <c r="BE316" i="1" s="1"/>
  <c r="BE317" i="1" s="1"/>
  <c r="BE318" i="1" s="1"/>
  <c r="BE319" i="1" s="1"/>
  <c r="BE320" i="1" s="1"/>
  <c r="BE321" i="1" s="1"/>
  <c r="BE322" i="1" s="1"/>
  <c r="BE323" i="1" s="1"/>
  <c r="BE324" i="1" s="1"/>
  <c r="BE325" i="1" s="1"/>
  <c r="BE326" i="1" s="1"/>
  <c r="BE327" i="1" s="1"/>
  <c r="BE328" i="1" s="1"/>
  <c r="BE329" i="1" s="1"/>
  <c r="BE330" i="1" s="1"/>
  <c r="BE331" i="1" s="1"/>
  <c r="BE332" i="1" s="1"/>
  <c r="BE333" i="1" s="1"/>
  <c r="BE334" i="1" s="1"/>
  <c r="BE335" i="1"/>
  <c r="BE336" i="1" s="1"/>
  <c r="BE337" i="1" s="1"/>
  <c r="BE338" i="1" s="1"/>
  <c r="BE339" i="1" s="1"/>
  <c r="BE340" i="1" s="1"/>
  <c r="BE341" i="1" s="1"/>
  <c r="BE342" i="1" s="1"/>
  <c r="BE343" i="1" s="1"/>
  <c r="BE344" i="1" s="1"/>
  <c r="BE345" i="1" s="1"/>
  <c r="BE346" i="1" s="1"/>
  <c r="BE347" i="1" s="1"/>
  <c r="BE348" i="1" s="1"/>
  <c r="BE349" i="1" s="1"/>
  <c r="BE350" i="1" s="1"/>
  <c r="BE351" i="1" s="1"/>
  <c r="BE352" i="1" s="1"/>
  <c r="BE353" i="1" s="1"/>
  <c r="BE354" i="1" s="1"/>
  <c r="BE355" i="1" s="1"/>
  <c r="BE356" i="1" s="1"/>
  <c r="BE357" i="1" s="1"/>
  <c r="BE358" i="1" s="1"/>
  <c r="BE359" i="1" s="1"/>
  <c r="BE360" i="1" s="1"/>
  <c r="BE361" i="1" s="1"/>
  <c r="BE362" i="1" s="1"/>
  <c r="BE363" i="1" s="1"/>
  <c r="BE364" i="1" s="1"/>
  <c r="BE365" i="1" s="1"/>
  <c r="BE366" i="1" s="1"/>
  <c r="BE367" i="1"/>
  <c r="BE368" i="1" s="1"/>
  <c r="BE369" i="1" s="1"/>
  <c r="BE370" i="1" s="1"/>
  <c r="BE371" i="1" s="1"/>
  <c r="BE372" i="1" s="1"/>
  <c r="BE373" i="1" s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/>
  <c r="BE400" i="1" s="1"/>
  <c r="BE401" i="1" s="1"/>
  <c r="BE402" i="1" s="1"/>
  <c r="BE403" i="1" s="1"/>
  <c r="BE404" i="1" s="1"/>
  <c r="BE405" i="1" s="1"/>
  <c r="BE406" i="1" s="1"/>
  <c r="BE407" i="1" s="1"/>
  <c r="BE408" i="1" s="1"/>
  <c r="BE409" i="1" s="1"/>
  <c r="BE410" i="1" s="1"/>
  <c r="BE411" i="1" s="1"/>
  <c r="BE412" i="1" s="1"/>
  <c r="BE413" i="1" s="1"/>
  <c r="BE414" i="1" s="1"/>
  <c r="BE415" i="1" s="1"/>
  <c r="BE416" i="1" s="1"/>
  <c r="BE417" i="1" s="1"/>
  <c r="BE418" i="1" s="1"/>
  <c r="BE419" i="1" s="1"/>
  <c r="BE420" i="1" s="1"/>
  <c r="BE421" i="1" s="1"/>
  <c r="BE422" i="1" s="1"/>
  <c r="BE423" i="1" s="1"/>
  <c r="BE424" i="1" s="1"/>
  <c r="BE425" i="1" s="1"/>
  <c r="BE426" i="1" s="1"/>
  <c r="BE427" i="1" s="1"/>
  <c r="BE428" i="1" s="1"/>
  <c r="BE429" i="1" s="1"/>
  <c r="BE430" i="1" s="1"/>
  <c r="BE431" i="1"/>
  <c r="BE432" i="1" s="1"/>
  <c r="BE433" i="1" s="1"/>
  <c r="BE434" i="1" s="1"/>
  <c r="BE435" i="1" s="1"/>
  <c r="BE436" i="1" s="1"/>
  <c r="BE437" i="1" s="1"/>
  <c r="BE438" i="1" s="1"/>
  <c r="BE439" i="1" s="1"/>
  <c r="BE440" i="1" s="1"/>
  <c r="BE441" i="1" s="1"/>
  <c r="BE442" i="1" s="1"/>
  <c r="BE443" i="1" s="1"/>
  <c r="BE444" i="1" s="1"/>
  <c r="BE445" i="1" s="1"/>
  <c r="BE446" i="1" s="1"/>
  <c r="BE447" i="1"/>
  <c r="BE448" i="1" s="1"/>
  <c r="BE449" i="1" s="1"/>
  <c r="BE450" i="1" s="1"/>
  <c r="BE451" i="1" s="1"/>
  <c r="BE452" i="1" s="1"/>
  <c r="BE453" i="1" s="1"/>
  <c r="BE454" i="1" s="1"/>
  <c r="BE455" i="1" s="1"/>
  <c r="BE456" i="1" s="1"/>
  <c r="BE457" i="1" s="1"/>
  <c r="BE458" i="1" s="1"/>
  <c r="BE459" i="1" s="1"/>
  <c r="BE460" i="1" s="1"/>
  <c r="BE461" i="1" s="1"/>
  <c r="BE462" i="1" s="1"/>
  <c r="BE463" i="1" s="1"/>
  <c r="BE464" i="1" s="1"/>
  <c r="BE465" i="1" s="1"/>
  <c r="BE466" i="1" s="1"/>
  <c r="BE467" i="1" s="1"/>
  <c r="BE468" i="1" s="1"/>
  <c r="BE469" i="1" s="1"/>
  <c r="BE470" i="1" s="1"/>
  <c r="BE471" i="1" s="1"/>
  <c r="BE472" i="1" s="1"/>
  <c r="BE473" i="1" s="1"/>
  <c r="BE474" i="1" s="1"/>
  <c r="BE475" i="1" s="1"/>
  <c r="BE476" i="1" s="1"/>
  <c r="BE477" i="1" s="1"/>
  <c r="BE478" i="1" s="1"/>
  <c r="BE479" i="1"/>
  <c r="BE480" i="1" s="1"/>
  <c r="BE481" i="1" s="1"/>
  <c r="BE482" i="1" s="1"/>
  <c r="BE483" i="1" s="1"/>
  <c r="BE484" i="1" s="1"/>
  <c r="BE485" i="1" s="1"/>
  <c r="BE486" i="1" s="1"/>
  <c r="BE487" i="1" s="1"/>
  <c r="BE488" i="1" s="1"/>
  <c r="BE489" i="1" s="1"/>
  <c r="BE490" i="1" s="1"/>
  <c r="BE491" i="1" s="1"/>
  <c r="BE492" i="1" s="1"/>
  <c r="BE493" i="1" s="1"/>
  <c r="BE494" i="1" s="1"/>
  <c r="BE495" i="1" s="1"/>
  <c r="BE496" i="1" s="1"/>
  <c r="BE497" i="1" s="1"/>
  <c r="BE498" i="1" s="1"/>
  <c r="BE499" i="1" s="1"/>
  <c r="BE500" i="1" s="1"/>
  <c r="BE501" i="1" s="1"/>
  <c r="BE502" i="1" s="1"/>
  <c r="BE503" i="1" s="1"/>
  <c r="BE504" i="1" s="1"/>
  <c r="BE505" i="1" s="1"/>
  <c r="BE506" i="1" s="1"/>
  <c r="BE507" i="1" s="1"/>
  <c r="BE508" i="1" s="1"/>
  <c r="BE509" i="1" s="1"/>
  <c r="BE510" i="1" s="1"/>
  <c r="BE511" i="1"/>
  <c r="BE512" i="1" s="1"/>
  <c r="BE513" i="1" s="1"/>
  <c r="BE514" i="1" s="1"/>
  <c r="BE515" i="1" s="1"/>
  <c r="BE516" i="1" s="1"/>
  <c r="BE517" i="1" s="1"/>
  <c r="BE518" i="1" s="1"/>
  <c r="BE519" i="1" s="1"/>
  <c r="BE520" i="1" s="1"/>
  <c r="BE521" i="1" s="1"/>
  <c r="BE522" i="1" s="1"/>
  <c r="BE523" i="1" s="1"/>
  <c r="BE524" i="1" s="1"/>
  <c r="BE525" i="1" s="1"/>
  <c r="BE526" i="1" s="1"/>
  <c r="BE527" i="1" s="1"/>
  <c r="BE528" i="1" s="1"/>
  <c r="BE529" i="1" s="1"/>
  <c r="BE530" i="1" s="1"/>
  <c r="BE531" i="1" s="1"/>
  <c r="BE532" i="1" s="1"/>
  <c r="BE533" i="1" s="1"/>
  <c r="BE534" i="1" s="1"/>
  <c r="BE535" i="1" s="1"/>
  <c r="BE536" i="1" s="1"/>
  <c r="BE537" i="1" s="1"/>
  <c r="BE538" i="1" s="1"/>
  <c r="BE539" i="1" s="1"/>
  <c r="BE540" i="1" s="1"/>
  <c r="BE541" i="1" s="1"/>
  <c r="BE542" i="1" s="1"/>
  <c r="BE543" i="1"/>
  <c r="BE544" i="1" s="1"/>
  <c r="BE545" i="1" s="1"/>
  <c r="BE546" i="1" s="1"/>
  <c r="BE547" i="1" s="1"/>
  <c r="BE548" i="1" s="1"/>
  <c r="BE549" i="1" s="1"/>
  <c r="BE550" i="1" s="1"/>
  <c r="BE551" i="1" s="1"/>
  <c r="BE552" i="1" s="1"/>
  <c r="BE553" i="1" s="1"/>
  <c r="BE554" i="1" s="1"/>
  <c r="BE555" i="1" s="1"/>
  <c r="BE556" i="1" s="1"/>
  <c r="BE557" i="1" s="1"/>
  <c r="BE558" i="1" s="1"/>
  <c r="BE559" i="1" s="1"/>
  <c r="BE560" i="1" s="1"/>
  <c r="BE561" i="1" s="1"/>
  <c r="BE562" i="1" s="1"/>
  <c r="BE563" i="1" s="1"/>
  <c r="BE564" i="1" s="1"/>
  <c r="BE565" i="1" s="1"/>
  <c r="BE566" i="1" s="1"/>
  <c r="BE567" i="1" s="1"/>
  <c r="BE568" i="1" s="1"/>
  <c r="BE569" i="1" s="1"/>
  <c r="BE570" i="1" s="1"/>
  <c r="BE571" i="1" s="1"/>
  <c r="BE572" i="1" s="1"/>
  <c r="BE573" i="1" s="1"/>
  <c r="BE574" i="1" s="1"/>
  <c r="BE575" i="1"/>
  <c r="BE576" i="1" s="1"/>
  <c r="BE577" i="1" s="1"/>
  <c r="BE578" i="1" s="1"/>
  <c r="BE579" i="1" s="1"/>
  <c r="BE580" i="1" s="1"/>
  <c r="BE581" i="1" s="1"/>
  <c r="BE582" i="1" s="1"/>
  <c r="BE583" i="1" s="1"/>
  <c r="BE584" i="1" s="1"/>
  <c r="BE585" i="1" s="1"/>
  <c r="BE586" i="1" s="1"/>
  <c r="BE587" i="1" s="1"/>
  <c r="BE588" i="1" s="1"/>
  <c r="BE589" i="1" s="1"/>
  <c r="BE590" i="1" s="1"/>
  <c r="BE591" i="1" s="1"/>
  <c r="BE592" i="1" s="1"/>
  <c r="BE593" i="1" s="1"/>
  <c r="BE594" i="1" s="1"/>
  <c r="BE595" i="1" s="1"/>
  <c r="BE596" i="1" s="1"/>
  <c r="BE597" i="1" s="1"/>
  <c r="BE598" i="1" s="1"/>
  <c r="BE599" i="1" s="1"/>
  <c r="BF11" i="1" a="1"/>
  <c r="BF297" i="1" l="1"/>
  <c r="BF68" i="1"/>
  <c r="BF414" i="1"/>
  <c r="BF163" i="1"/>
  <c r="BF284" i="1"/>
  <c r="BF382" i="1"/>
  <c r="BF582" i="1"/>
  <c r="BF324" i="1"/>
  <c r="BF523" i="1"/>
  <c r="BF381" i="1"/>
  <c r="BF250" i="1"/>
  <c r="BF303" i="1"/>
  <c r="BF112" i="1"/>
  <c r="BF48" i="1"/>
  <c r="BF355" i="1"/>
  <c r="BF502" i="1"/>
  <c r="BF264" i="1"/>
  <c r="BF132" i="1"/>
  <c r="BF169" i="1"/>
  <c r="BF116" i="1"/>
  <c r="BF12" i="1"/>
  <c r="BF564" i="1"/>
  <c r="BF42" i="1"/>
  <c r="BF251" i="1"/>
  <c r="BF343" i="1"/>
  <c r="BF396" i="1"/>
  <c r="BF154" i="1"/>
  <c r="BF446" i="1"/>
  <c r="BF247" i="1"/>
  <c r="BF73" i="1"/>
  <c r="BF178" i="1"/>
  <c r="BF223" i="1"/>
  <c r="BF463" i="1"/>
  <c r="BF142" i="1"/>
  <c r="BF200" i="1"/>
  <c r="BF92" i="1"/>
  <c r="BF416" i="1"/>
  <c r="BF14" i="1"/>
  <c r="BF75" i="1"/>
  <c r="BF17" i="1"/>
  <c r="BF235" i="1"/>
  <c r="BF259" i="1"/>
  <c r="BF315" i="1"/>
  <c r="BF242" i="1"/>
  <c r="BF516" i="1"/>
  <c r="BF193" i="1"/>
  <c r="BF374" i="1"/>
  <c r="BF282" i="1"/>
  <c r="BF41" i="1"/>
  <c r="BF461" i="1"/>
  <c r="BF591" i="1"/>
  <c r="BF77" i="1"/>
  <c r="BF405" i="1"/>
  <c r="BF387" i="1"/>
  <c r="BF560" i="1"/>
  <c r="BF517" i="1"/>
  <c r="BF455" i="1"/>
  <c r="BF98" i="1"/>
  <c r="BF497" i="1"/>
  <c r="BF165" i="1"/>
  <c r="BF418" i="1"/>
  <c r="BF425" i="1"/>
  <c r="BF158" i="1"/>
  <c r="BF490" i="1"/>
  <c r="BF501" i="1"/>
  <c r="BF50" i="1"/>
  <c r="BF85" i="1"/>
  <c r="BF571" i="1"/>
  <c r="BF119" i="1"/>
  <c r="BF513" i="1"/>
  <c r="BF31" i="1"/>
  <c r="BF583" i="1"/>
  <c r="BF196" i="1"/>
  <c r="BF207" i="1"/>
  <c r="BF322" i="1"/>
  <c r="BF590" i="1"/>
  <c r="BF348" i="1"/>
  <c r="BF227" i="1"/>
  <c r="BF378" i="1"/>
  <c r="BF536" i="1"/>
  <c r="BF278" i="1"/>
  <c r="BF423" i="1"/>
  <c r="BF448" i="1"/>
  <c r="BF345" i="1"/>
  <c r="BF462" i="1"/>
  <c r="BF480" i="1"/>
  <c r="BF39" i="1"/>
  <c r="BF267" i="1"/>
  <c r="BF543" i="1"/>
  <c r="BF287" i="1"/>
  <c r="BF20" i="1"/>
  <c r="BF78" i="1"/>
  <c r="BF325" i="1"/>
  <c r="BF407" i="1"/>
  <c r="BF37" i="1"/>
  <c r="BF26" i="1"/>
  <c r="BF338" i="1"/>
  <c r="BF515" i="1"/>
  <c r="BF96" i="1"/>
  <c r="BF213" i="1"/>
  <c r="BF280" i="1"/>
  <c r="BF97" i="1"/>
  <c r="BF366" i="1"/>
  <c r="BF205" i="1"/>
  <c r="BF457" i="1"/>
  <c r="BF406" i="1"/>
  <c r="BF435" i="1"/>
  <c r="BF212" i="1"/>
  <c r="BF261" i="1"/>
  <c r="BF586" i="1"/>
  <c r="BF379" i="1"/>
  <c r="BF100" i="1"/>
  <c r="BF519" i="1"/>
  <c r="BF412" i="1"/>
  <c r="BF572" i="1"/>
  <c r="BF126" i="1"/>
  <c r="BF599" i="1"/>
  <c r="BF115" i="1"/>
  <c r="BF354" i="1"/>
  <c r="BF454" i="1"/>
  <c r="BF49" i="1"/>
  <c r="BF333" i="1"/>
  <c r="BF402" i="1"/>
  <c r="BF393" i="1"/>
  <c r="BF138" i="1"/>
  <c r="BF479" i="1"/>
  <c r="BF175" i="1"/>
  <c r="BF253" i="1"/>
  <c r="BF466" i="1"/>
  <c r="BF33" i="1"/>
  <c r="BF489" i="1"/>
  <c r="BF468" i="1"/>
  <c r="BF578" i="1"/>
  <c r="BF506" i="1"/>
  <c r="BF562" i="1"/>
  <c r="BF330" i="1"/>
  <c r="BF260" i="1"/>
  <c r="BF76" i="1"/>
  <c r="BF217" i="1"/>
  <c r="BF447" i="1"/>
  <c r="BF256" i="1"/>
  <c r="BF493" i="1"/>
  <c r="BF427" i="1"/>
  <c r="BF550" i="1"/>
  <c r="BF584" i="1"/>
  <c r="BF118" i="1"/>
  <c r="BF67" i="1"/>
  <c r="BF547" i="1"/>
  <c r="BF336" i="1"/>
  <c r="BF565" i="1"/>
  <c r="BF520" i="1"/>
  <c r="BF30" i="1"/>
  <c r="BF442" i="1"/>
  <c r="BF596" i="1"/>
  <c r="BF290" i="1"/>
  <c r="BF492" i="1"/>
  <c r="BF293" i="1"/>
  <c r="BF257" i="1"/>
  <c r="BF428" i="1"/>
  <c r="BF528" i="1"/>
  <c r="BF56" i="1"/>
  <c r="BF464" i="1"/>
  <c r="BF171" i="1"/>
  <c r="BF369" i="1"/>
  <c r="BF388" i="1"/>
  <c r="BF246" i="1"/>
  <c r="BF534" i="1"/>
  <c r="BF216" i="1"/>
  <c r="BF576" i="1"/>
  <c r="BF585" i="1"/>
  <c r="BF329" i="1"/>
  <c r="BF542" i="1"/>
  <c r="BF499" i="1"/>
  <c r="BF66" i="1"/>
  <c r="BF64" i="1"/>
  <c r="BF341" i="1"/>
  <c r="BF594" i="1"/>
  <c r="BF160" i="1"/>
  <c r="BF137" i="1"/>
  <c r="BF183" i="1"/>
  <c r="BF255" i="1"/>
  <c r="BF58" i="1"/>
  <c r="BF505" i="1"/>
  <c r="BF22" i="1"/>
  <c r="BF43" i="1"/>
  <c r="BF191" i="1"/>
  <c r="BF399" i="1"/>
  <c r="BF245" i="1"/>
  <c r="BF473" i="1"/>
  <c r="BF309" i="1"/>
  <c r="BF299" i="1"/>
  <c r="BF574" i="1"/>
  <c r="BF422" i="1"/>
  <c r="BF524" i="1"/>
  <c r="BF527" i="1"/>
  <c r="BF530" i="1"/>
  <c r="BF298" i="1"/>
  <c r="BF149" i="1"/>
  <c r="BF234" i="1"/>
  <c r="BF417" i="1"/>
  <c r="BF408" i="1"/>
  <c r="BF491" i="1"/>
  <c r="BF347" i="1"/>
  <c r="BF475" i="1"/>
  <c r="BF34" i="1"/>
  <c r="BF292" i="1"/>
  <c r="BF300" i="1"/>
  <c r="BF136" i="1"/>
  <c r="BF103" i="1"/>
  <c r="BF436" i="1"/>
  <c r="BF476" i="1"/>
  <c r="BF453" i="1"/>
  <c r="BF74" i="1"/>
  <c r="BF265" i="1"/>
  <c r="BF514" i="1"/>
  <c r="BF563" i="1"/>
  <c r="BF189" i="1"/>
  <c r="BF86" i="1"/>
  <c r="BF458" i="1"/>
  <c r="BF580" i="1"/>
  <c r="BF477" i="1"/>
  <c r="BF18" i="1"/>
  <c r="BF19" i="1"/>
  <c r="BF114" i="1"/>
  <c r="BF486" i="1"/>
  <c r="BF71" i="1"/>
  <c r="BF544" i="1"/>
  <c r="BF316" i="1"/>
  <c r="BF272" i="1"/>
  <c r="BF467" i="1"/>
  <c r="BF32" i="1"/>
  <c r="BF147" i="1"/>
  <c r="BF537" i="1"/>
  <c r="BF321" i="1"/>
  <c r="BF471" i="1"/>
  <c r="BF188" i="1"/>
  <c r="BF311" i="1"/>
  <c r="BF377" i="1"/>
  <c r="BF439" i="1"/>
  <c r="BF332" i="1"/>
  <c r="BF592" i="1"/>
  <c r="BF356" i="1"/>
  <c r="BF262" i="1"/>
  <c r="BF229" i="1"/>
  <c r="BF288" i="1"/>
  <c r="BF166" i="1"/>
  <c r="BF233" i="1"/>
  <c r="BF204" i="1"/>
  <c r="BF201" i="1"/>
  <c r="BF313" i="1"/>
  <c r="BF538" i="1"/>
  <c r="BF512" i="1"/>
  <c r="BF145" i="1"/>
  <c r="BF495" i="1"/>
  <c r="BF291" i="1"/>
  <c r="BF104" i="1"/>
  <c r="BF156" i="1"/>
  <c r="BF99" i="1"/>
  <c r="BF452" i="1"/>
  <c r="BF155" i="1"/>
  <c r="BF509" i="1"/>
  <c r="BF230" i="1"/>
  <c r="BF340" i="1"/>
  <c r="BF148" i="1"/>
  <c r="BF424" i="1"/>
  <c r="BF588" i="1"/>
  <c r="BF25" i="1"/>
  <c r="BF410" i="1"/>
  <c r="BF152" i="1"/>
  <c r="BF146" i="1"/>
  <c r="BF474" i="1"/>
  <c r="BF106" i="1"/>
  <c r="BF420" i="1"/>
  <c r="BF181" i="1"/>
  <c r="BF394" i="1"/>
  <c r="BF529" i="1"/>
  <c r="BF432" i="1"/>
  <c r="BF521" i="1"/>
  <c r="BF248" i="1"/>
  <c r="BF127" i="1"/>
  <c r="BF541" i="1"/>
  <c r="BF198" i="1"/>
  <c r="BF304" i="1"/>
  <c r="BF337" i="1"/>
  <c r="BF597" i="1"/>
  <c r="BF305" i="1"/>
  <c r="BF400" i="1"/>
  <c r="BF117" i="1"/>
  <c r="BF135" i="1"/>
  <c r="BF199" i="1"/>
  <c r="BF344" i="1"/>
  <c r="BF335" i="1"/>
  <c r="BF419" i="1"/>
  <c r="BF508" i="1"/>
  <c r="BF327" i="1"/>
  <c r="BF123" i="1"/>
  <c r="BF211" i="1"/>
  <c r="BF349" i="1"/>
  <c r="BF556" i="1"/>
  <c r="BF218" i="1"/>
  <c r="BF54" i="1"/>
  <c r="BF69" i="1"/>
  <c r="BF40" i="1"/>
  <c r="BF109" i="1"/>
  <c r="BF107" i="1"/>
  <c r="BF551" i="1"/>
  <c r="BF11" i="1"/>
  <c r="BF552" i="1"/>
  <c r="BF150" i="1"/>
  <c r="BF151" i="1"/>
  <c r="BF554" i="1"/>
  <c r="BF487" i="1"/>
  <c r="BF308" i="1"/>
  <c r="BF413" i="1"/>
  <c r="BF241" i="1"/>
  <c r="BF121" i="1"/>
  <c r="BF579" i="1"/>
  <c r="BF243" i="1"/>
  <c r="BF500" i="1"/>
  <c r="BF94" i="1"/>
  <c r="BF93" i="1"/>
  <c r="BF60" i="1"/>
  <c r="BF558" i="1"/>
  <c r="BF346" i="1"/>
  <c r="BF437" i="1"/>
  <c r="BF186" i="1"/>
  <c r="BF57" i="1"/>
  <c r="BF368" i="1"/>
  <c r="BF101" i="1"/>
  <c r="BF351" i="1"/>
  <c r="BF105" i="1"/>
  <c r="BF358" i="1"/>
  <c r="BF546" i="1"/>
  <c r="BF566" i="1"/>
  <c r="BF409" i="1"/>
  <c r="BF570" i="1"/>
  <c r="BF47" i="1"/>
  <c r="BF36" i="1"/>
  <c r="BF482" i="1"/>
  <c r="BF587" i="1"/>
  <c r="BF484" i="1"/>
  <c r="BF13" i="1"/>
  <c r="BF443" i="1"/>
  <c r="BF28" i="1"/>
  <c r="BF53" i="1"/>
  <c r="BF469" i="1"/>
  <c r="BF559" i="1"/>
  <c r="BF318" i="1"/>
  <c r="BF353" i="1"/>
  <c r="BF518" i="1"/>
  <c r="BF240" i="1"/>
  <c r="BF294" i="1"/>
  <c r="BF268" i="1"/>
  <c r="BF361" i="1"/>
  <c r="BF179" i="1"/>
  <c r="BF561" i="1"/>
  <c r="BF55" i="1"/>
  <c r="BF266" i="1"/>
  <c r="BF87" i="1"/>
  <c r="BF46" i="1"/>
  <c r="BF488" i="1"/>
  <c r="BF270" i="1"/>
  <c r="BF302" i="1"/>
  <c r="BF102" i="1"/>
  <c r="BF281" i="1"/>
  <c r="BF441" i="1"/>
  <c r="BF470" i="1"/>
  <c r="BF214" i="1"/>
  <c r="BF274" i="1"/>
  <c r="BF258" i="1"/>
  <c r="BF140" i="1"/>
  <c r="BF108" i="1"/>
  <c r="BF494" i="1"/>
  <c r="BF232" i="1"/>
  <c r="BF133" i="1"/>
  <c r="BF328" i="1"/>
  <c r="BF434" i="1"/>
  <c r="BF598" i="1"/>
  <c r="BF391" i="1"/>
  <c r="BF79" i="1"/>
  <c r="BF285" i="1"/>
  <c r="BF202" i="1"/>
  <c r="BF301" i="1"/>
  <c r="BF415" i="1"/>
  <c r="BF187" i="1"/>
  <c r="BF589" i="1"/>
  <c r="BF170" i="1"/>
  <c r="BF70" i="1"/>
  <c r="BF360" i="1"/>
  <c r="BF221" i="1"/>
  <c r="BF168" i="1"/>
  <c r="BF295" i="1"/>
  <c r="BF365" i="1"/>
  <c r="BF362" i="1"/>
  <c r="BF465" i="1"/>
  <c r="BF38" i="1"/>
  <c r="BF314" i="1"/>
  <c r="BF395" i="1"/>
  <c r="BF159" i="1"/>
  <c r="BF483" i="1"/>
  <c r="BF236" i="1"/>
  <c r="BF194" i="1"/>
  <c r="BF342" i="1"/>
  <c r="BF21" i="1"/>
  <c r="BF113" i="1"/>
  <c r="BF503" i="1"/>
  <c r="BF535" i="1"/>
  <c r="BF279" i="1"/>
  <c r="BF95" i="1"/>
  <c r="BF451" i="1"/>
  <c r="BF376" i="1"/>
  <c r="BF460" i="1"/>
  <c r="BF548" i="1"/>
  <c r="BF375" i="1"/>
  <c r="BF51" i="1"/>
  <c r="BF210" i="1"/>
  <c r="BF129" i="1"/>
  <c r="BF397" i="1"/>
  <c r="BF263" i="1"/>
  <c r="BF411" i="1"/>
  <c r="BF312" i="1"/>
  <c r="BF510" i="1"/>
  <c r="BF389" i="1"/>
  <c r="BF319" i="1"/>
  <c r="BF238" i="1"/>
  <c r="BF222" i="1"/>
  <c r="BF84" i="1"/>
  <c r="BF496" i="1"/>
  <c r="BF553" i="1"/>
  <c r="BF433" i="1"/>
  <c r="BF172" i="1"/>
  <c r="BF190" i="1"/>
  <c r="BF228" i="1"/>
  <c r="BF569" i="1"/>
  <c r="BF286" i="1"/>
  <c r="BF289" i="1"/>
  <c r="BF176" i="1"/>
  <c r="BF438" i="1"/>
  <c r="BF195" i="1"/>
  <c r="BF177" i="1"/>
  <c r="BF498" i="1"/>
  <c r="BF237" i="1"/>
  <c r="BF525" i="1"/>
  <c r="BF370" i="1"/>
  <c r="BF504" i="1"/>
  <c r="BF277" i="1"/>
  <c r="BF44" i="1"/>
  <c r="BF320" i="1"/>
  <c r="BF120" i="1"/>
  <c r="BF526" i="1"/>
  <c r="BF63" i="1"/>
  <c r="BF390" i="1"/>
  <c r="BF384" i="1"/>
  <c r="BF252" i="1"/>
  <c r="BF141" i="1"/>
  <c r="BF52" i="1"/>
  <c r="BF430" i="1"/>
  <c r="BF81" i="1"/>
  <c r="BF131" i="1"/>
  <c r="BF83" i="1"/>
  <c r="BF367" i="1"/>
  <c r="BF307" i="1"/>
  <c r="BF472" i="1"/>
  <c r="BF134" i="1"/>
  <c r="BF557" i="1"/>
  <c r="BF269" i="1"/>
  <c r="BF110" i="1"/>
  <c r="BF380" i="1"/>
  <c r="BF185" i="1"/>
  <c r="BF555" i="1"/>
  <c r="BF29" i="1"/>
  <c r="BF88" i="1"/>
  <c r="BF507" i="1"/>
  <c r="BF431" i="1"/>
  <c r="BF573" i="1"/>
  <c r="BF310" i="1"/>
  <c r="BF209" i="1"/>
  <c r="BF577" i="1"/>
  <c r="BF249" i="1"/>
  <c r="BF65" i="1"/>
  <c r="BF404" i="1"/>
  <c r="BF161" i="1"/>
  <c r="BF426" i="1"/>
  <c r="BF89" i="1"/>
  <c r="BF421" i="1"/>
  <c r="BF306" i="1"/>
  <c r="BF111" i="1"/>
  <c r="BF540" i="1"/>
  <c r="BF225" i="1"/>
  <c r="BF456" i="1"/>
  <c r="BF61" i="1"/>
  <c r="BF373" i="1"/>
  <c r="BF182" i="1"/>
  <c r="BF539" i="1"/>
  <c r="BF481" i="1"/>
  <c r="BF244" i="1"/>
  <c r="BF143" i="1"/>
  <c r="BF231" i="1"/>
  <c r="BF386" i="1"/>
  <c r="BF254" i="1"/>
  <c r="BF24" i="1"/>
  <c r="BF339" i="1"/>
  <c r="BF392" i="1"/>
  <c r="BF192" i="1"/>
  <c r="BF533" i="1"/>
  <c r="BF364" i="1"/>
  <c r="BF124" i="1"/>
  <c r="BF224" i="1"/>
  <c r="BF82" i="1"/>
  <c r="BF531" i="1"/>
  <c r="BF162" i="1"/>
  <c r="BF371" i="1"/>
  <c r="BF184" i="1"/>
  <c r="BF167" i="1"/>
  <c r="BF220" i="1"/>
  <c r="BF449" i="1"/>
  <c r="BF450" i="1"/>
  <c r="BF485" i="1"/>
  <c r="BF283" i="1"/>
  <c r="BF215" i="1"/>
  <c r="BF125" i="1"/>
  <c r="BF15" i="1"/>
  <c r="BF72" i="1"/>
  <c r="BF459" i="1"/>
  <c r="BF357" i="1"/>
  <c r="BF545" i="1"/>
  <c r="BF359" i="1"/>
  <c r="BF350" i="1"/>
  <c r="BF445" i="1"/>
  <c r="BF144" i="1"/>
  <c r="BF27" i="1"/>
  <c r="BF352" i="1"/>
  <c r="BF323" i="1"/>
  <c r="BF549" i="1"/>
  <c r="BF567" i="1"/>
  <c r="BF16" i="1"/>
  <c r="BF219" i="1"/>
  <c r="BF206" i="1"/>
  <c r="BF271" i="1"/>
  <c r="BF90" i="1"/>
  <c r="BF403" i="1"/>
  <c r="BF91" i="1"/>
  <c r="BF35" i="1"/>
  <c r="BF174" i="1"/>
  <c r="BF595" i="1"/>
  <c r="BF429" i="1"/>
  <c r="BF273" i="1"/>
  <c r="BF296" i="1"/>
  <c r="BF153" i="1"/>
  <c r="BF440" i="1"/>
  <c r="BF173" i="1"/>
  <c r="BF363" i="1"/>
  <c r="BF45" i="1"/>
  <c r="BF478" i="1"/>
  <c r="BF62" i="1"/>
  <c r="BF23" i="1"/>
  <c r="BF226" i="1"/>
  <c r="BF383" i="1"/>
  <c r="BF275" i="1"/>
  <c r="BF511" i="1"/>
  <c r="BF197" i="1"/>
  <c r="BF122" i="1"/>
  <c r="BF80" i="1"/>
  <c r="BF130" i="1"/>
  <c r="BF208" i="1"/>
  <c r="BF334" i="1"/>
  <c r="BF568" i="1"/>
  <c r="BF522" i="1"/>
  <c r="BF239" i="1"/>
  <c r="BF398" i="1"/>
  <c r="BF401" i="1"/>
  <c r="BF372" i="1"/>
  <c r="BF276" i="1"/>
  <c r="BF532" i="1"/>
  <c r="BF164" i="1"/>
  <c r="BF128" i="1"/>
  <c r="BF593" i="1"/>
  <c r="BF326" i="1"/>
  <c r="BF385" i="1"/>
  <c r="BF575" i="1"/>
  <c r="BF203" i="1"/>
  <c r="BF59" i="1"/>
  <c r="BF317" i="1"/>
  <c r="BF331" i="1"/>
  <c r="BF139" i="1"/>
  <c r="BF180" i="1"/>
  <c r="BF444" i="1"/>
  <c r="BF157" i="1"/>
  <c r="BF581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<sst xmlns="http://schemas.openxmlformats.org/spreadsheetml/2006/main" count="9977" uniqueCount="2083">
  <si>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</si>
  <si>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</si>
  <si>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</si>
  <si>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</si>
  <si>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</si>
  <si>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</si>
  <si>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</si>
  <si>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</si>
  <si>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</si>
  <si>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</si>
  <si>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</si>
  <si>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</si>
  <si>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</si>
  <si>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</si>
  <si>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</si>
  <si>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</si>
  <si>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</si>
  <si>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</si>
  <si>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</si>
  <si>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</si>
  <si>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</si>
  <si>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</si>
  <si>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</si>
  <si>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</si>
  <si>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</si>
  <si>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s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</si>
  <si>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</si>
  <si>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</si>
  <si>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</si>
  <si>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</si>
  <si>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</si>
  <si>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</si>
  <si>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</si>
  <si>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</si>
  <si>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</si>
  <si>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</si>
  <si>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</si>
  <si>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</si>
  <si>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</si>
  <si>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</si>
  <si>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</si>
  <si>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</si>
  <si>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</si>
  <si>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</si>
  <si>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</si>
  <si>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</si>
  <si>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</si>
  <si>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</si>
  <si>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</si>
  <si>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</si>
  <si>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</si>
  <si>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</si>
  <si>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</si>
  <si>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</si>
  <si>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</si>
  <si>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</si>
  <si>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</si>
  <si>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</si>
  <si>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</si>
  <si>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</si>
  <si>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</si>
  <si>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</si>
  <si>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</si>
  <si>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</si>
  <si>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</si>
  <si>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</si>
  <si>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</si>
  <si>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</si>
  <si>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</si>
  <si>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</si>
  <si>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</si>
  <si>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</si>
  <si>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</si>
  <si>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</si>
  <si>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</si>
  <si>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</si>
  <si>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</si>
  <si>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</si>
  <si>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</si>
  <si>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</si>
  <si>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</si>
  <si>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</si>
  <si>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</si>
  <si>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</si>
  <si>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</si>
  <si>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</si>
  <si>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</si>
  <si>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</si>
  <si>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</si>
  <si>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</si>
  <si>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</si>
  <si>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</si>
  <si>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</si>
  <si>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</si>
  <si>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</si>
  <si>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</si>
  <si>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</si>
  <si>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</si>
  <si>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</si>
  <si>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</si>
  <si>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</si>
  <si>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</si>
  <si>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</si>
  <si>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</si>
  <si>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</si>
  <si>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</si>
  <si>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</si>
  <si>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</si>
  <si>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</si>
  <si>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</si>
  <si>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</si>
  <si>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</si>
  <si>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</si>
  <si>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</si>
  <si>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</si>
  <si>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</si>
  <si>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</si>
  <si>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</si>
  <si>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</si>
  <si>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</si>
  <si>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</si>
  <si>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</si>
  <si>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</si>
  <si>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</si>
  <si>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</si>
  <si>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</si>
  <si>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</si>
  <si>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</si>
  <si>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</si>
  <si>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</si>
  <si>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</si>
  <si>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</si>
  <si>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</si>
  <si>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</si>
  <si>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</si>
  <si>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</si>
  <si>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</si>
  <si>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</si>
  <si>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</si>
  <si>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</si>
  <si>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</si>
  <si>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</si>
  <si>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</si>
  <si>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</si>
  <si>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</si>
  <si>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</si>
  <si>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</si>
  <si>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</si>
  <si>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</si>
  <si>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</si>
  <si>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</si>
  <si>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</si>
  <si>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</si>
  <si>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</si>
  <si>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</si>
  <si>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</si>
  <si>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</si>
  <si>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</si>
  <si>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</si>
  <si>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</si>
  <si>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</si>
  <si>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</si>
  <si>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</si>
  <si>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</si>
  <si>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</si>
  <si>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</si>
  <si>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</si>
  <si>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</si>
  <si>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</si>
  <si>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</si>
  <si>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</si>
  <si>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</si>
  <si>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</si>
  <si>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</si>
  <si>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</si>
  <si>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</si>
  <si>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</si>
  <si>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</si>
  <si>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</si>
  <si>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</si>
  <si>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</si>
  <si>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</si>
  <si>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</si>
  <si>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</si>
  <si>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</si>
  <si>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</si>
  <si>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</si>
  <si>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</si>
  <si>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</si>
  <si>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</si>
  <si>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</si>
  <si>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</si>
  <si>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</si>
  <si>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</si>
  <si>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</si>
  <si>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</si>
  <si>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</si>
  <si>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</si>
  <si>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</si>
  <si>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</si>
  <si>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</si>
  <si>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</si>
  <si>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</si>
  <si>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</si>
  <si>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</si>
  <si>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</si>
  <si>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</si>
  <si>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</si>
  <si>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</si>
  <si>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</si>
  <si>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</si>
  <si>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</si>
  <si>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</si>
  <si>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</si>
  <si>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</si>
  <si>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</si>
  <si>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</si>
  <si>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</si>
  <si>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</si>
  <si>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</si>
  <si>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</si>
  <si>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</si>
  <si>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</si>
  <si>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</si>
  <si>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</si>
  <si>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</si>
  <si>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</si>
  <si>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</si>
  <si>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</si>
  <si>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</si>
  <si>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</si>
  <si>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</si>
  <si>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</si>
  <si>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</si>
  <si>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</si>
  <si>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</si>
  <si>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</si>
  <si>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</si>
  <si>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</si>
  <si>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</si>
  <si>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</si>
  <si>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</si>
  <si>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</si>
  <si>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</si>
  <si>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</si>
  <si>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</si>
  <si>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</si>
  <si>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</si>
  <si>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</si>
  <si>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</si>
  <si>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</si>
  <si>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</si>
  <si>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</si>
  <si>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</si>
  <si>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</si>
  <si>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</si>
  <si>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</si>
  <si>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</si>
  <si>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</si>
  <si>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</si>
  <si>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</si>
  <si>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</si>
  <si>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</si>
  <si>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</si>
  <si>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</si>
  <si>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</si>
  <si>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</si>
  <si>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</si>
  <si>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</si>
  <si>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</si>
  <si>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</si>
  <si>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</si>
  <si>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</si>
  <si>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</si>
  <si>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</si>
  <si>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</si>
  <si>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</si>
  <si>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</si>
  <si>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</si>
  <si>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</si>
  <si>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</si>
  <si>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</si>
  <si>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</si>
  <si>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</si>
  <si>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</si>
  <si>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</si>
  <si>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</si>
  <si>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</si>
  <si>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</si>
  <si>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</si>
  <si>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</si>
  <si>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</si>
  <si>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</si>
  <si>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</si>
  <si>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</si>
  <si>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</si>
  <si>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</si>
  <si>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</si>
  <si>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</si>
  <si>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</si>
  <si>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</si>
  <si>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</si>
  <si>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</si>
  <si>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</si>
  <si>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</si>
  <si>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</si>
  <si>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</si>
  <si>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</si>
  <si>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</si>
  <si>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</si>
  <si>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</si>
  <si>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</si>
  <si>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</si>
  <si>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</si>
  <si>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</si>
  <si>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</si>
  <si>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</si>
  <si>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</si>
  <si>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</si>
  <si>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</si>
  <si>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</si>
  <si>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</si>
  <si>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</si>
  <si>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</si>
  <si>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</si>
  <si>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</si>
  <si>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</si>
  <si>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</si>
  <si>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</si>
  <si>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</si>
  <si>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</si>
  <si>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</si>
  <si>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</si>
  <si>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</si>
  <si>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</si>
  <si>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</si>
  <si>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</si>
  <si>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</si>
  <si>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</si>
  <si>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</si>
  <si>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</si>
  <si>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</si>
  <si>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</si>
  <si>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</si>
  <si>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</si>
  <si>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</si>
  <si>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</si>
  <si>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</si>
  <si>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</si>
  <si>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</si>
  <si>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</si>
  <si>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</si>
  <si>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</si>
  <si>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</si>
  <si>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</si>
  <si>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</si>
  <si>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</si>
  <si>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</si>
  <si>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</si>
  <si>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</si>
  <si>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</si>
  <si>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</si>
  <si>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</si>
  <si>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</si>
  <si>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</si>
  <si>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</si>
  <si>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</si>
  <si>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</si>
  <si>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</si>
  <si>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</si>
  <si>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</si>
  <si>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</si>
  <si>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</si>
  <si>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</si>
  <si>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</si>
  <si>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</si>
  <si>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</si>
  <si>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</si>
  <si>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</si>
  <si>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</si>
  <si>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</si>
  <si>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</si>
  <si>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</si>
  <si>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</si>
  <si>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</si>
  <si>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</si>
  <si>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</si>
  <si>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</si>
  <si>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</si>
  <si>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</si>
  <si>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</si>
  <si>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</si>
  <si>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</si>
  <si>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</si>
  <si>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</si>
  <si>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</si>
  <si>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</si>
  <si>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</si>
  <si>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</si>
  <si>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</si>
  <si>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</si>
  <si>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</si>
  <si>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</si>
  <si>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</si>
  <si>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</si>
  <si>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</si>
  <si>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</si>
  <si>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</si>
  <si>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</si>
  <si>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</si>
  <si>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</si>
  <si>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</si>
  <si>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</si>
  <si>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</si>
  <si>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</si>
  <si>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</si>
  <si>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</si>
  <si>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</si>
  <si>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</si>
  <si>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</si>
  <si>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</si>
  <si>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</si>
  <si>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</si>
  <si>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</si>
  <si>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</si>
  <si>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</si>
  <si>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</si>
  <si>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</si>
  <si>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</si>
  <si>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</si>
  <si>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</si>
  <si>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</si>
  <si>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</si>
  <si>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</si>
  <si>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</si>
  <si>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</si>
  <si>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</si>
  <si>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</si>
  <si>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</si>
  <si>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</si>
  <si>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</si>
  <si>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</si>
  <si>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</si>
  <si>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</si>
  <si>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</si>
  <si>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</si>
  <si>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</si>
  <si>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</si>
  <si>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</si>
  <si>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</si>
  <si>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</si>
  <si>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</si>
  <si>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</si>
  <si>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</si>
  <si>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</si>
  <si>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</si>
  <si>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</si>
  <si>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</si>
  <si>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</si>
  <si>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</si>
  <si>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</si>
  <si>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</si>
  <si>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</si>
  <si>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</si>
  <si>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</si>
  <si>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</si>
  <si>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</si>
  <si>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</si>
  <si>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</si>
  <si>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</si>
  <si>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</si>
  <si>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</si>
  <si>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</si>
  <si>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</si>
  <si>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</si>
  <si>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</si>
  <si>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</si>
  <si>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</si>
  <si>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</si>
  <si>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</si>
  <si>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</si>
  <si>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</si>
  <si>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</si>
  <si>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</si>
  <si>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</si>
  <si>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</si>
  <si>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</si>
  <si>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</si>
  <si>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</si>
  <si>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</si>
  <si>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</si>
  <si>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</si>
  <si>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</si>
  <si>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</si>
  <si>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</si>
  <si>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</si>
  <si>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</si>
  <si>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</si>
  <si>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</si>
  <si>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</si>
  <si>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</si>
  <si>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</si>
  <si>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</si>
  <si>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</si>
  <si>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</si>
  <si>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</si>
  <si>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</si>
  <si>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</si>
  <si>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</si>
  <si>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</si>
  <si>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</si>
  <si>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</si>
  <si>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</si>
  <si>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</si>
  <si>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</si>
  <si>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</si>
  <si>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</si>
  <si>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</si>
  <si>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</si>
  <si>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</si>
  <si>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</si>
  <si>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</si>
  <si>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</si>
  <si>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</si>
  <si>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</si>
  <si>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</si>
  <si>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</si>
  <si>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</si>
  <si>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</si>
  <si>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</si>
  <si>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</si>
  <si>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</si>
  <si>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</si>
  <si>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</si>
  <si>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</si>
  <si>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</si>
  <si>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</si>
  <si>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</si>
  <si>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</si>
  <si>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</si>
  <si>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</si>
  <si>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</si>
  <si>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</si>
  <si>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</si>
  <si>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</si>
  <si>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</si>
  <si>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</si>
  <si>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</si>
  <si>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</si>
  <si>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</si>
  <si>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</si>
  <si>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</si>
  <si>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</si>
  <si>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</si>
  <si>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</si>
  <si>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</si>
  <si>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</si>
  <si>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</si>
  <si>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</si>
  <si>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</si>
  <si>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</si>
  <si>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</si>
  <si>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</si>
  <si>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</si>
  <si>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</si>
  <si>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</si>
  <si>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</si>
  <si>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</si>
  <si>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</si>
  <si>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</si>
  <si>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</si>
  <si>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</si>
  <si>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</si>
  <si>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</si>
  <si>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</si>
  <si>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</si>
  <si>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</si>
  <si>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</si>
  <si>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</si>
  <si>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</si>
  <si>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</si>
  <si>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</si>
  <si>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</si>
  <si>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</si>
  <si>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</si>
  <si>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</si>
  <si>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</si>
  <si>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</si>
  <si>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</si>
  <si>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</si>
  <si>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</si>
  <si>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</si>
  <si>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</si>
  <si>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</si>
  <si>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</si>
  <si>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</si>
  <si>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</si>
  <si>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</si>
  <si>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</si>
  <si>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</si>
  <si>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</si>
  <si>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</si>
  <si>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</si>
  <si>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</si>
  <si>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</si>
  <si>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</si>
  <si>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</si>
  <si>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</si>
  <si>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</si>
  <si>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</si>
  <si>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</si>
  <si>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</si>
  <si>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</si>
  <si>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</si>
  <si>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</si>
  <si>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</si>
  <si>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</si>
  <si>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</si>
  <si>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</si>
  <si>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</si>
  <si>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</si>
  <si>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</si>
  <si>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</si>
  <si>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</si>
  <si>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</si>
  <si>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</si>
  <si>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</si>
  <si>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</si>
  <si>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</si>
  <si>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</si>
  <si>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</si>
  <si>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</si>
  <si>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</si>
  <si>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</si>
  <si>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</si>
  <si>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</si>
  <si>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</si>
  <si>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</si>
  <si>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</si>
  <si>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</si>
  <si>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</si>
  <si>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</si>
  <si>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</si>
  <si>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</si>
  <si>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</si>
  <si>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</si>
  <si>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</si>
  <si>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</si>
  <si>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</si>
  <si>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</si>
  <si>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</si>
  <si>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</si>
  <si>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</si>
  <si>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</si>
  <si>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</si>
  <si>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</si>
  <si>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</si>
  <si>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</si>
  <si>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</si>
  <si>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</si>
  <si>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</si>
  <si>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</si>
  <si>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</si>
  <si>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</si>
  <si>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</si>
  <si>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</si>
  <si>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</si>
  <si>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</si>
  <si>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</si>
  <si>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</si>
  <si>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</si>
  <si>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</si>
  <si>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</si>
  <si>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</si>
  <si>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</si>
  <si>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</si>
  <si>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</si>
  <si>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</si>
  <si>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</si>
  <si>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</si>
  <si>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</si>
  <si>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</si>
  <si>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</si>
  <si>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</si>
  <si>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</si>
  <si>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</si>
  <si>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</si>
  <si>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</si>
  <si>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</si>
  <si>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</si>
  <si>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</si>
  <si>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</si>
  <si>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</si>
  <si>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</si>
  <si>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</si>
  <si>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</si>
  <si>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</si>
  <si>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</si>
  <si>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</si>
  <si>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</si>
  <si>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</si>
  <si>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</si>
  <si>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</si>
  <si>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</si>
  <si>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</si>
  <si>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</si>
  <si>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</si>
  <si>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</si>
  <si>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</si>
  <si>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</si>
  <si>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</si>
  <si>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</si>
  <si>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</si>
  <si>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</si>
  <si>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</si>
  <si>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</si>
  <si>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</si>
  <si>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</si>
  <si>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</si>
  <si>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</si>
  <si>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</si>
  <si>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</si>
  <si>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</si>
  <si>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</si>
  <si>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</si>
  <si>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</si>
  <si>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</si>
  <si>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</si>
  <si>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</si>
  <si>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</si>
  <si>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</si>
  <si>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</si>
  <si>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</si>
  <si>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</si>
  <si>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</si>
  <si>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</si>
  <si>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</si>
  <si>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</si>
  <si>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</si>
  <si>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</si>
  <si>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</si>
  <si>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</si>
  <si>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</si>
  <si>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</si>
  <si>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</si>
  <si>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</si>
  <si>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</si>
  <si>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</si>
  <si>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</si>
  <si>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</si>
  <si>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</si>
  <si>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</si>
  <si>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</si>
  <si>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</si>
  <si>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</si>
  <si>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</si>
  <si>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</si>
  <si>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</si>
  <si>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</si>
  <si>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</si>
  <si>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</si>
  <si>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</si>
  <si>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</si>
  <si>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</si>
  <si>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</si>
  <si>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</si>
  <si>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</si>
  <si>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</si>
  <si>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</si>
  <si>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</si>
  <si>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</si>
  <si>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</si>
  <si>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</si>
  <si>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</si>
  <si>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</si>
  <si>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</si>
  <si>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</si>
  <si>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</si>
  <si>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</si>
  <si>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</si>
  <si>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</si>
  <si>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</si>
  <si>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</si>
  <si>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</si>
  <si>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</si>
  <si>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</si>
  <si>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</si>
  <si>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</si>
  <si>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</si>
  <si>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</si>
  <si>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</si>
  <si>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</si>
  <si>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</si>
  <si>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</si>
  <si>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</si>
  <si>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</si>
  <si>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</si>
  <si>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</si>
  <si>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</si>
  <si>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</si>
  <si>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</si>
  <si>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</si>
  <si>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</si>
  <si>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</si>
  <si>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</si>
  <si>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</si>
  <si>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</si>
  <si>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</si>
  <si>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</si>
  <si>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</si>
  <si>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</si>
  <si>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</si>
  <si>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</si>
  <si>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</si>
  <si>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</si>
  <si>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</si>
  <si>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</si>
  <si>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</si>
  <si>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</si>
  <si>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</si>
  <si>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</si>
  <si>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</si>
  <si>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</si>
  <si>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</si>
  <si>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</si>
  <si>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</si>
  <si>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</si>
  <si>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</si>
  <si>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</si>
  <si>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</si>
  <si>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</si>
  <si>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</si>
  <si>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</si>
  <si>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</si>
  <si>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</si>
  <si>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</si>
  <si>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</si>
  <si>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</si>
  <si>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</si>
  <si>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</si>
  <si>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</si>
  <si>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</si>
  <si>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</si>
  <si>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</si>
  <si>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</si>
  <si>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</si>
  <si>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</si>
  <si>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</si>
  <si>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</si>
  <si>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</si>
  <si>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</si>
  <si>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</si>
  <si>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</si>
  <si>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</si>
  <si>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</si>
  <si>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</si>
  <si>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</si>
  <si>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</si>
  <si>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</si>
  <si>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</si>
  <si>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</si>
  <si>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</si>
  <si>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</si>
  <si>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</si>
  <si>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</si>
  <si>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</si>
  <si>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</si>
  <si>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</si>
  <si>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</si>
  <si>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</si>
  <si>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</si>
  <si>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</si>
  <si>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</si>
  <si>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</si>
  <si>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</si>
  <si>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</si>
  <si>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</si>
  <si>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</si>
  <si>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</si>
  <si>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</si>
  <si>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</si>
  <si>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</si>
  <si>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</si>
  <si>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</si>
  <si>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</si>
  <si>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</si>
  <si>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</si>
  <si>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</si>
  <si>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</si>
  <si>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</si>
  <si>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</si>
  <si>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</si>
  <si>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</si>
  <si>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</si>
  <si>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</si>
  <si>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</si>
  <si>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</si>
  <si>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</si>
  <si>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</si>
  <si>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</si>
  <si>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</si>
  <si>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</si>
  <si>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</si>
  <si>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</si>
  <si>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</si>
  <si>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</si>
  <si>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</si>
  <si>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</si>
  <si>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</si>
  <si>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</si>
  <si>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</si>
  <si>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</si>
  <si>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</si>
  <si>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</si>
  <si>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</si>
  <si>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</si>
  <si>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</si>
  <si>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</si>
  <si>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</si>
  <si>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</si>
  <si>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</si>
  <si>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</si>
  <si>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</si>
  <si>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</si>
  <si>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</si>
  <si>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</si>
  <si>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</si>
  <si>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</si>
  <si>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</si>
  <si>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</si>
  <si>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</si>
  <si>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</si>
  <si>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</si>
  <si>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</si>
  <si>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</si>
  <si>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</si>
  <si>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</si>
  <si>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</si>
  <si>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</si>
  <si>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</si>
  <si>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</si>
  <si>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</si>
  <si>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</si>
  <si>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</si>
  <si>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</si>
  <si>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</si>
  <si>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</si>
  <si>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</si>
  <si>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</si>
  <si>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</si>
  <si>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</si>
  <si>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</si>
  <si>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</si>
  <si>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</si>
  <si>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</si>
  <si>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</si>
  <si>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</si>
  <si>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</si>
  <si>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</si>
  <si>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</si>
  <si>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</si>
  <si>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</si>
  <si>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</si>
  <si>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</si>
  <si>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</si>
  <si>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</si>
  <si>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</si>
  <si>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</si>
  <si>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</si>
  <si>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</si>
  <si>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</si>
  <si>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</si>
  <si>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</si>
  <si>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</si>
  <si>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</si>
  <si>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</si>
  <si>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</si>
  <si>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</si>
  <si>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</si>
  <si>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</si>
  <si>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</si>
  <si>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</si>
  <si>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</si>
  <si>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</si>
  <si>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</si>
  <si>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</si>
  <si>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</si>
  <si>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</si>
  <si>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</si>
  <si>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</si>
  <si>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</si>
  <si>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</si>
  <si>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</si>
  <si>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</si>
  <si>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</si>
  <si>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</si>
  <si>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</si>
  <si>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</si>
  <si>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</si>
  <si>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</si>
  <si>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</si>
  <si>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</si>
  <si>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</si>
  <si>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</si>
  <si>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</si>
  <si>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</si>
  <si>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</si>
  <si>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</si>
  <si>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</si>
  <si>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</si>
  <si>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</si>
  <si>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</si>
  <si>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</si>
  <si>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</si>
  <si>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</si>
  <si>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</si>
  <si>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</si>
  <si>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</si>
  <si>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</si>
  <si>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</si>
  <si>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</si>
  <si>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</si>
  <si>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</si>
  <si>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</si>
  <si>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</si>
  <si>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</si>
  <si>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</si>
  <si>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</si>
  <si>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</si>
  <si>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</si>
  <si>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</si>
  <si>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</si>
  <si>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</si>
  <si>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</si>
  <si>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</si>
  <si>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</si>
  <si>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</si>
  <si>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</si>
  <si>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</si>
  <si>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</si>
  <si>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</si>
  <si>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</si>
  <si>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</si>
  <si>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</si>
  <si>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</si>
  <si>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</si>
  <si>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</si>
  <si>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</si>
  <si>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</si>
  <si>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</si>
  <si>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</si>
  <si>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</si>
  <si>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</si>
  <si>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</si>
  <si>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</si>
  <si>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</si>
  <si>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</si>
  <si>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</si>
  <si>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</si>
  <si>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</si>
  <si>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</si>
  <si>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</si>
  <si>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</si>
  <si>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</si>
  <si>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</si>
  <si>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</si>
  <si>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</si>
  <si>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</si>
  <si>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</si>
  <si>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</si>
  <si>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</si>
  <si>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</si>
  <si>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</si>
  <si>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</si>
  <si>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</si>
  <si>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</si>
  <si>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</si>
  <si>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</si>
  <si>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</si>
  <si>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</si>
  <si>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</si>
  <si>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</si>
  <si>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</si>
  <si>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</si>
  <si>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</si>
  <si>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</si>
  <si>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</si>
  <si>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</si>
  <si>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</si>
  <si>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</si>
  <si>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</si>
  <si>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</si>
  <si>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</si>
  <si>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</si>
  <si>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</si>
  <si>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</si>
  <si>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</si>
  <si>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</si>
  <si>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</si>
  <si>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</si>
  <si>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</si>
  <si>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</si>
  <si>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</si>
  <si>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</si>
  <si>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</si>
  <si>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</si>
  <si>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</si>
  <si>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</si>
  <si>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</si>
  <si>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</si>
  <si>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</si>
  <si>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</si>
  <si>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</si>
  <si>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</si>
  <si>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</si>
  <si>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</si>
  <si>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</si>
  <si>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</si>
  <si>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</si>
  <si>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</si>
  <si>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</si>
  <si>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</si>
  <si>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</si>
  <si>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</si>
  <si>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</si>
  <si>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</si>
  <si>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</si>
  <si>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</si>
  <si>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</si>
  <si>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</si>
  <si>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</si>
  <si>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</si>
  <si>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</si>
  <si>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</si>
  <si>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</si>
  <si>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</si>
  <si>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</si>
  <si>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</si>
  <si>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</si>
  <si>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</si>
  <si>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</si>
  <si>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</si>
  <si>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</si>
  <si>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</si>
  <si>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</si>
  <si>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</si>
  <si>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</si>
  <si>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</si>
  <si>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</si>
  <si>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</si>
  <si>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</si>
  <si>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</si>
  <si>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</si>
  <si>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</si>
  <si>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</si>
  <si>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</si>
  <si>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</si>
  <si>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</si>
  <si>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</si>
  <si>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</si>
  <si>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</si>
  <si>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</si>
  <si>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</si>
  <si>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</si>
  <si>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</si>
  <si>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</si>
  <si>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</si>
  <si>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</si>
  <si>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</si>
  <si>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</si>
  <si>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</si>
  <si>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</si>
  <si>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</si>
  <si>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</si>
  <si>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</si>
  <si>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</si>
  <si>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</si>
  <si>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</si>
  <si>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</si>
  <si>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</si>
  <si>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</si>
  <si>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</si>
  <si>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</si>
  <si>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</si>
  <si>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</si>
  <si>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</si>
  <si>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</si>
  <si>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</si>
  <si>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</si>
  <si>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</si>
  <si>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</si>
  <si>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</si>
  <si>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</si>
  <si>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</si>
  <si>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</si>
  <si>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</si>
  <si>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</si>
  <si>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</si>
  <si>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</si>
  <si>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</si>
  <si>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</si>
  <si>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</si>
  <si>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</si>
  <si>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</si>
  <si>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</si>
  <si>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</si>
  <si>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</si>
  <si>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</si>
  <si>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</si>
  <si>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</si>
  <si>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</si>
  <si>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</si>
  <si>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</si>
  <si>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</si>
  <si>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</si>
  <si>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</si>
  <si>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</si>
  <si>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</si>
  <si>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</si>
  <si>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</si>
  <si>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</si>
  <si>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</si>
  <si>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</si>
  <si>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</si>
  <si>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</si>
  <si>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</si>
  <si>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</si>
  <si>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</si>
  <si>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</si>
  <si>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</si>
  <si>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</si>
  <si>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</si>
  <si>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</si>
  <si>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</si>
  <si>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</si>
  <si>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</si>
  <si>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</si>
  <si>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</si>
  <si>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</si>
  <si>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</si>
  <si>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</si>
  <si>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</si>
  <si>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</si>
  <si>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</si>
  <si>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</si>
  <si>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</si>
  <si>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</si>
  <si>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</si>
  <si>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</si>
  <si>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</si>
  <si>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</si>
  <si>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</si>
  <si>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</si>
  <si>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</si>
  <si>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</si>
  <si>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</si>
  <si>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</si>
  <si>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</si>
  <si>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</si>
  <si>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</si>
  <si>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</si>
  <si>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</si>
  <si>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</si>
  <si>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</si>
  <si>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</si>
  <si>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</si>
  <si>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</si>
  <si>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</si>
  <si>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</si>
  <si>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</si>
  <si>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</si>
  <si>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</si>
  <si>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</si>
  <si>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</si>
  <si>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</si>
  <si>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</si>
  <si>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</si>
  <si>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</si>
  <si>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</si>
  <si>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</si>
  <si>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</si>
  <si>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</si>
  <si>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</si>
  <si>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</si>
  <si>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</si>
  <si>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</si>
  <si>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</si>
  <si>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</si>
  <si>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</si>
  <si>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</si>
  <si>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</si>
  <si>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</si>
  <si>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</si>
  <si>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</si>
  <si>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</si>
  <si>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</si>
  <si>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</si>
  <si>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</si>
  <si>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</si>
  <si>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</si>
  <si>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</si>
  <si>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</si>
  <si>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</si>
  <si>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</si>
  <si>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</si>
  <si>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</si>
  <si>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</si>
  <si>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</si>
  <si>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</si>
  <si>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</si>
  <si>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</si>
  <si>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</si>
  <si>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</si>
  <si>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</si>
  <si>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</si>
  <si>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</si>
  <si>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</si>
  <si>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</si>
  <si>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</si>
  <si>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</si>
  <si>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</si>
  <si>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</si>
  <si>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</si>
  <si>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</si>
  <si>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</si>
  <si>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</si>
  <si>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</si>
  <si>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</si>
  <si>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</si>
  <si>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</si>
  <si>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</si>
  <si>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</si>
  <si>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</si>
  <si>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</si>
  <si>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</si>
  <si>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</si>
  <si>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</si>
  <si>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</si>
  <si>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</si>
  <si>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</si>
  <si>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</si>
  <si>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</si>
  <si>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</si>
  <si>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</si>
  <si>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</si>
  <si>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</si>
  <si>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</si>
  <si>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</si>
  <si>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</si>
  <si>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</si>
  <si>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</si>
  <si>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</si>
  <si>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</si>
  <si>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</si>
  <si>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</si>
  <si>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</si>
  <si>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</si>
  <si>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</si>
  <si>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</si>
  <si>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</si>
  <si>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</si>
  <si>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</si>
  <si>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</si>
  <si>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</si>
  <si>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</si>
  <si>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</si>
  <si>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</si>
  <si>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</si>
  <si>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</si>
  <si>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</si>
  <si>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</si>
  <si>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</si>
  <si>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</si>
  <si>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</si>
  <si>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</si>
  <si>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</si>
  <si>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</si>
  <si>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</si>
  <si>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</si>
  <si>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</si>
  <si>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</si>
  <si>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</si>
  <si>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</si>
  <si>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</si>
  <si>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</si>
  <si>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</si>
  <si>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</si>
  <si>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</si>
  <si>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</si>
  <si>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</si>
  <si>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</si>
  <si>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</si>
  <si>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</si>
  <si>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</si>
  <si>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</si>
  <si>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</si>
  <si>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</si>
  <si>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</si>
  <si>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</si>
  <si>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</si>
  <si>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</si>
  <si>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</si>
  <si>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</si>
  <si>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</si>
  <si>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</si>
  <si>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</si>
  <si>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</si>
  <si>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</si>
  <si>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</si>
  <si>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</si>
  <si>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</si>
  <si>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</si>
  <si>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</si>
  <si>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</si>
  <si>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</si>
  <si>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</si>
  <si>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</si>
  <si>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</si>
  <si>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</si>
  <si>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</si>
  <si>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</si>
  <si>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</si>
  <si>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</si>
  <si>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</si>
  <si>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</si>
  <si>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</si>
  <si>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</si>
  <si>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</si>
  <si>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</si>
  <si>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</si>
  <si>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</si>
  <si>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</si>
  <si>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</si>
  <si>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</si>
  <si>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</si>
  <si>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</si>
  <si>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</si>
  <si>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</si>
  <si>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</si>
  <si>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</si>
  <si>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</si>
  <si>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</si>
  <si>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</si>
  <si>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</si>
  <si>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</si>
  <si>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</si>
  <si>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</si>
  <si>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</si>
  <si>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</si>
  <si>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</si>
  <si>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</si>
  <si>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</si>
  <si>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</si>
  <si>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</si>
  <si>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</si>
  <si>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</si>
  <si>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</si>
  <si>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</si>
  <si>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</si>
  <si>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</si>
  <si>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</si>
  <si>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</si>
  <si>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</si>
  <si>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</si>
  <si>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</si>
  <si>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</si>
  <si>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</si>
  <si>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</si>
  <si>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</si>
  <si>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</si>
  <si>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</si>
  <si>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</si>
  <si>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</si>
  <si>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</si>
  <si>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</si>
  <si>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</si>
  <si>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</si>
  <si>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</si>
  <si>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</si>
  <si>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</si>
  <si>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</si>
  <si>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</si>
  <si>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</si>
  <si>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</si>
  <si>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</si>
  <si>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</si>
  <si>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</si>
  <si>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</si>
  <si>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</si>
  <si>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</si>
  <si>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</si>
  <si>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</si>
  <si>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</si>
  <si>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</si>
  <si>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</si>
  <si>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</si>
  <si>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</si>
  <si>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</si>
  <si>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</si>
  <si>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</si>
  <si>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</si>
  <si>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</si>
  <si>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</si>
  <si>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</si>
  <si>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</si>
  <si>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</si>
  <si>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</si>
  <si>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</si>
  <si>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</si>
  <si>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</si>
  <si>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</si>
  <si>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</si>
  <si>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</si>
  <si>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</si>
  <si>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</si>
  <si>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</si>
  <si>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</si>
  <si>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</si>
  <si>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</si>
  <si>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</si>
  <si>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</si>
  <si>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</si>
  <si>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</si>
  <si>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</si>
  <si>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</si>
  <si>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</si>
  <si>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</si>
  <si>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</si>
  <si>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</si>
  <si>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</si>
  <si>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</si>
  <si>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</si>
  <si>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</si>
  <si>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</si>
  <si>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</si>
  <si>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</si>
  <si>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</si>
  <si>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</si>
  <si>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</si>
  <si>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</si>
  <si>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</si>
  <si>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</si>
  <si>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</si>
  <si>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</si>
  <si>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</si>
  <si>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</si>
  <si>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</si>
  <si>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</si>
  <si>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</si>
  <si>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</si>
  <si>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</si>
  <si>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</si>
  <si>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</si>
  <si>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</si>
  <si>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</si>
  <si>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</si>
  <si>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</si>
  <si>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</si>
  <si>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</si>
  <si>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</si>
  <si>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</si>
  <si>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</si>
  <si>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</si>
  <si>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</si>
  <si>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</si>
  <si>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</si>
  <si>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</si>
  <si>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</si>
  <si>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</si>
  <si>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</si>
  <si>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</si>
  <si>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</si>
  <si>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</si>
  <si>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</si>
  <si>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</si>
  <si>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</si>
  <si>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</si>
  <si>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</si>
  <si>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</si>
  <si>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</si>
  <si>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</si>
  <si>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</si>
  <si>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</si>
  <si>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</si>
  <si>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</si>
  <si>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</si>
  <si>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</si>
  <si>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</si>
  <si>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</si>
  <si>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</si>
  <si>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</si>
  <si>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</si>
  <si>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</si>
  <si>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</si>
  <si>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</si>
  <si>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</si>
  <si>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</si>
  <si>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</si>
  <si>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</si>
  <si>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</si>
  <si>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</si>
  <si>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</si>
  <si>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</si>
  <si>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</si>
  <si>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</si>
  <si>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</si>
  <si>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</si>
  <si>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</si>
  <si>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</si>
  <si>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</si>
  <si>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</si>
  <si>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</si>
  <si>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</si>
  <si>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</si>
  <si>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</si>
  <si>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</si>
  <si>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</si>
  <si>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</si>
  <si>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</si>
  <si>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</si>
  <si>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</si>
  <si>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</si>
  <si>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</si>
  <si>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</si>
  <si>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</si>
  <si>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</si>
  <si>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</si>
  <si>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</si>
  <si>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</si>
  <si>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</si>
  <si>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</si>
  <si>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</si>
  <si>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</si>
  <si>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</si>
  <si>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</si>
  <si>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</si>
  <si>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</si>
  <si>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</si>
  <si>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</si>
  <si>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</si>
  <si>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</si>
  <si>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</si>
  <si>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</si>
  <si>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</si>
  <si>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</si>
  <si>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</si>
  <si>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</si>
  <si>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</si>
  <si>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</si>
  <si>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</si>
  <si>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</si>
  <si>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</si>
  <si>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</si>
  <si>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</si>
  <si>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</si>
  <si>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</si>
  <si>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</si>
  <si>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</si>
  <si>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</si>
  <si>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</si>
  <si>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</si>
  <si>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</si>
  <si>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</si>
  <si>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</si>
  <si>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</si>
  <si>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</si>
  <si>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</si>
  <si>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</si>
  <si>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</si>
  <si>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</si>
  <si>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</si>
  <si>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</si>
  <si>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</si>
  <si>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</si>
  <si>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</si>
  <si>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</si>
  <si>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</si>
  <si>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</si>
  <si>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</si>
  <si>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</si>
  <si>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</si>
  <si>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</si>
  <si>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</si>
  <si>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</si>
  <si>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</si>
  <si>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</si>
  <si>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</si>
  <si>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</si>
  <si>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</si>
  <si>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</si>
  <si>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</si>
  <si>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</si>
  <si>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</si>
  <si>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</si>
  <si>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</si>
  <si>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</si>
  <si>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</si>
  <si>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</si>
  <si>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</si>
  <si>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</si>
  <si>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</si>
  <si>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</si>
  <si>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</si>
  <si>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</si>
  <si>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</si>
  <si>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</si>
  <si>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</si>
  <si>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</si>
  <si>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</si>
  <si>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</si>
  <si>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</si>
  <si>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</si>
  <si>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</si>
  <si>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</si>
  <si>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</si>
  <si>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</si>
  <si>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</si>
  <si>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</si>
  <si>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nbg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</si>
  <si>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</si>
  <si>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</si>
  <si>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</si>
  <si>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</si>
  <si>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</si>
  <si>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</si>
  <si>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</si>
  <si>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BTP7Y</t>
  </si>
  <si>
    <t>2 rest, 3 matt, 10 puri</t>
  </si>
  <si>
    <t>scommessa spa/ita fine giugno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</si>
  <si>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</si>
  <si>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</si>
  <si>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</si>
  <si>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</si>
  <si>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</si>
  <si>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</si>
  <si>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</si>
  <si>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</si>
  <si>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</si>
  <si>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</si>
  <si>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</si>
  <si>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</si>
  <si>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</si>
  <si>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</si>
  <si>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</si>
  <si>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</si>
  <si>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</si>
  <si>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</si>
  <si>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</si>
  <si>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</si>
  <si>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</si>
  <si>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</si>
  <si>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</si>
  <si>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</si>
  <si>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</si>
  <si>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</si>
  <si>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</si>
  <si>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</si>
  <si>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</si>
  <si>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</si>
  <si>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</si>
  <si>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</si>
  <si>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</si>
  <si>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</si>
  <si>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</si>
  <si>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</si>
  <si>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</si>
  <si>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</si>
  <si>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</si>
  <si>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</si>
  <si>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</si>
  <si>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</si>
  <si>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</si>
  <si>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</si>
  <si>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 xml:space="preserve">pedro </t>
  </si>
  <si>
    <t xml:space="preserve">Aus_OC18_1.150/Eux_Scz_Jun_18           </t>
  </si>
  <si>
    <t xml:space="preserve">Aus_MR19_4.350/Eux_Scz_Jun_18           </t>
  </si>
  <si>
    <t xml:space="preserve">Aus_JN19_1.950/Eux_Scz_Jun_18           </t>
  </si>
  <si>
    <t xml:space="preserve">Aus_OC19_0.250/Eux_Scz_Jun_18           </t>
  </si>
  <si>
    <t xml:space="preserve">Aus_JL20_3.900/Eux_Scz_Jun_18           </t>
  </si>
  <si>
    <t xml:space="preserve">Aus_SE21_3.500/Eux_Bob_Jun_18           </t>
  </si>
  <si>
    <t xml:space="preserve">Aus_AP22_3.650/Eux_Bob_Jun_18           </t>
  </si>
  <si>
    <t xml:space="preserve">Aus_SE22_0.000_EMTN/Eux_Bob_Jun_18      </t>
  </si>
  <si>
    <t xml:space="preserve">Aus_NV22_3.400/Eux_Bob_Jun_18           </t>
  </si>
  <si>
    <t xml:space="preserve">Aus_JL23_0.000_REGS/Eux_Bob_Jun_18      </t>
  </si>
  <si>
    <t xml:space="preserve">Aus_OC23_1.750/Eux_Bob_Jun_18           </t>
  </si>
  <si>
    <t xml:space="preserve">Aus_OC24_1.650/Eux_Bob_Jun_18           </t>
  </si>
  <si>
    <t xml:space="preserve">Aus_OC25_1.200/Eux_Bun_Jun_18           </t>
  </si>
  <si>
    <t xml:space="preserve">Aus_MR26_4.850/Eux_Bun_Jun_18           </t>
  </si>
  <si>
    <t xml:space="preserve">Aus_OC26_0.750/Eux_Bun_Jun_18           </t>
  </si>
  <si>
    <t xml:space="preserve">Aus_AP27_0.500/Eux_Bun_Jun_18           </t>
  </si>
  <si>
    <t xml:space="preserve">Aus_JL27_6.25/Eux_Bun_Jun_18            </t>
  </si>
  <si>
    <t xml:space="preserve">Aus_FE28_0.750_EMTN/Eux_Bun_Jun_18      </t>
  </si>
  <si>
    <t>Aus_FE28_0.750_EMTN</t>
  </si>
  <si>
    <t>AT0000A1ZGE4</t>
  </si>
  <si>
    <t xml:space="preserve">Aus_MY34_2.400/Eux_Bun_Jun_18           </t>
  </si>
  <si>
    <t xml:space="preserve">Aus_MR37_4.150/Eux_Bun_Jun_18           </t>
  </si>
  <si>
    <t xml:space="preserve">Aus_JN44_3.150/Eux_Bun_Jun_18           </t>
  </si>
  <si>
    <t xml:space="preserve">Aus_FE47_1.500/Eux_Bun_Jun_18           </t>
  </si>
  <si>
    <t xml:space="preserve">Aus_JA62_3.800/Eux_Bun_Jun_18           </t>
  </si>
  <si>
    <t xml:space="preserve">Aus_NV86_1.500/Eux_Bun_Jun_18           </t>
  </si>
  <si>
    <t xml:space="preserve">Aus_SE17_2.100_EMTN/Eux_Bun_Jun_18      </t>
  </si>
  <si>
    <t>BELGIUM</t>
  </si>
  <si>
    <t xml:space="preserve">OLO55_MR19_4.000/Eux_Scz_Jun_18         </t>
  </si>
  <si>
    <t xml:space="preserve">OLO67_SE19_3.000/Eux_Scz_Jun_18         </t>
  </si>
  <si>
    <t xml:space="preserve">OLO58_SE20_3.750/Eux_Scz_Jun_18         </t>
  </si>
  <si>
    <t xml:space="preserve">OLO61_SE21_4.250/Eux_Bob_Jun_18         </t>
  </si>
  <si>
    <t xml:space="preserve">OLO48_MR22_4.000/Eux_Bob_Jun_18         </t>
  </si>
  <si>
    <t>FGBMM8</t>
  </si>
  <si>
    <t xml:space="preserve">OLO65_SE22_4.250/Eux_Bob_Jun_18         </t>
  </si>
  <si>
    <t xml:space="preserve">OLO68_JN23_2.250/Eux_Bob_Jun_18         </t>
  </si>
  <si>
    <t xml:space="preserve">OLO79_OC23_0.200/Eux_Bob_Jun_18         </t>
  </si>
  <si>
    <t xml:space="preserve">OLO72_JN24_2.600/Eux_Bob_Jun_18         </t>
  </si>
  <si>
    <t xml:space="preserve">OLO82_OC24_0.500/Eux_Bob_Jun_18         </t>
  </si>
  <si>
    <t xml:space="preserve">OLO74_JN25_0.800/Eux_Bun_Jun_18         </t>
  </si>
  <si>
    <t xml:space="preserve">OLO64_MR26_4.500/Eux_Bun_Jun_18         </t>
  </si>
  <si>
    <t xml:space="preserve">OLO77_JN26_1.000/Eux_Bun_Jun_18         </t>
  </si>
  <si>
    <t xml:space="preserve">OLO81_JN27_0.800/Eux_Bun_Jun_18         </t>
  </si>
  <si>
    <t xml:space="preserve">OLO31_MR28_5.50/Eux_Bun_Jun_18          </t>
  </si>
  <si>
    <t xml:space="preserve">OLO85_JN28_0.800/Eux_Bun_Jun_18         </t>
  </si>
  <si>
    <t>OLO85_JN28_0.800</t>
  </si>
  <si>
    <t>BE0000345547</t>
  </si>
  <si>
    <t xml:space="preserve">OLO75_JN31_1.000/Eux_Bun_Jun_18         </t>
  </si>
  <si>
    <t xml:space="preserve">OLO66_MR32_4.000/Eux_Bun_Jun_18         </t>
  </si>
  <si>
    <t xml:space="preserve">OLO73_JN34_3.000/Eux_Bun_Jun_18         </t>
  </si>
  <si>
    <t xml:space="preserve">OLO44_MR35_5.000/Eux_Bun_Jun_18         </t>
  </si>
  <si>
    <t xml:space="preserve">OLO84_JN37_1.450/Eux_Bun_Jun_18         </t>
  </si>
  <si>
    <t xml:space="preserve">OLO76_JN38_1.900/Eux_Bun_Jun_18         </t>
  </si>
  <si>
    <t>FGBLM8</t>
  </si>
  <si>
    <t xml:space="preserve">OLO60_MR41_4.250/Eux_Bun_Jun_18         </t>
  </si>
  <si>
    <t xml:space="preserve">OLO71_JN45_3.750/Eux_Bun_Jun_18         </t>
  </si>
  <si>
    <t xml:space="preserve">OLO78_JN47_1.600/Eux_Bun_Jun_18         </t>
  </si>
  <si>
    <t xml:space="preserve">OLO83_JN57_2.250/Eux_Bun_Jun_18         </t>
  </si>
  <si>
    <t xml:space="preserve">OLO80_JN66_2.150/Eux_Bun_Jun_18         </t>
  </si>
  <si>
    <t>GERMANY</t>
  </si>
  <si>
    <t xml:space="preserve">Bun_JL18_4.250/Eux_Scz_Jun_18           </t>
  </si>
  <si>
    <t>FGBSM8</t>
  </si>
  <si>
    <t xml:space="preserve">Bun_SE18S_0.000/Eux_Scz_Jun_18          </t>
  </si>
  <si>
    <t xml:space="preserve">Obl_167_1.000/Eux_Scz_Jun_18            </t>
  </si>
  <si>
    <t xml:space="preserve">Bun_DE18S_0.000/Eux_Scz_Jun_18          </t>
  </si>
  <si>
    <t xml:space="preserve">Bun_JA19_3.750/Eux_Scz_Jun_18           </t>
  </si>
  <si>
    <t xml:space="preserve">Obl_168_1.000/Eux_Scz_Jun_18            </t>
  </si>
  <si>
    <t xml:space="preserve">Bun_MR19S_0.000/Eux_Scz_Jun_18          </t>
  </si>
  <si>
    <t xml:space="preserve">Obl_169_0.500/Eux_Scz_Jun_18            </t>
  </si>
  <si>
    <t xml:space="preserve">Bun_JN19S_0.000/Eux_Scz_Jun_18          </t>
  </si>
  <si>
    <t xml:space="preserve">Bun_JL19_3.500/Eux_Scz_Jun_18           </t>
  </si>
  <si>
    <t xml:space="preserve">Bun_SE19S_0.000/Eux_Scz_Jun_18          </t>
  </si>
  <si>
    <t xml:space="preserve">Obl_170_0.250/Eux_Scz_Jun_18            </t>
  </si>
  <si>
    <t xml:space="preserve">Bun_DE19S_0.000/Eux_Scz_Jun_18          </t>
  </si>
  <si>
    <t xml:space="preserve">Bun_JA20_3.250/Eux_Scz_Jun_18           </t>
  </si>
  <si>
    <t xml:space="preserve">Bun_MR20S_0.000/Eux_Scz_Jun_18          </t>
  </si>
  <si>
    <t>Bun_MR20S_0.000</t>
  </si>
  <si>
    <t xml:space="preserve">Obl_171_0.000/Eux_Scz_Jun_18            </t>
  </si>
  <si>
    <t xml:space="preserve">Bun_JL20_3.000/Eux_Scz_Jun_18           </t>
  </si>
  <si>
    <t xml:space="preserve">Bun_SE20_2.250/Eux_Scz_Jun_18           </t>
  </si>
  <si>
    <t xml:space="preserve">Obl_172_0.250/Eux_Scz_Jun_18            </t>
  </si>
  <si>
    <t xml:space="preserve">Bun_JA21_2.500/Eux_Scz_Jun_18           </t>
  </si>
  <si>
    <t xml:space="preserve">Obl_173_0.000/Eux_Scz_Jun_18            </t>
  </si>
  <si>
    <t xml:space="preserve">Bun_JL21_3.250/Eux_Bob_Jun_18           </t>
  </si>
  <si>
    <t xml:space="preserve">Bun_SE21_2.250/Eux_Bob_Jun_18           </t>
  </si>
  <si>
    <t xml:space="preserve">Obl_174_0.000/Eux_Bob_Jun_18            </t>
  </si>
  <si>
    <t xml:space="preserve">Bun_JA22_2.000/Eux_Bob_Jun_18           </t>
  </si>
  <si>
    <t xml:space="preserve">Obl_175_0.000/Eux_Bob_Jun_18            </t>
  </si>
  <si>
    <t xml:space="preserve">Bun_JL22_1.750/Eux_Bob_Jun_18           </t>
  </si>
  <si>
    <t xml:space="preserve">Bun_SE22_1.500/Eux_Bob_Jun_18           </t>
  </si>
  <si>
    <t xml:space="preserve">Obl_176_0.000/Eux_Bob_Jun_18            </t>
  </si>
  <si>
    <t xml:space="preserve">Bun_FE23_1.500/Eux_Bob_Jun_18           </t>
  </si>
  <si>
    <t xml:space="preserve">Obl_AP23_0.000/Eux_Bob_Jun_18           </t>
  </si>
  <si>
    <t>Obl_AP23_0.000</t>
  </si>
  <si>
    <t xml:space="preserve">Bun_MY23_1.500/Eux_Bob_Jun_18           </t>
  </si>
  <si>
    <t xml:space="preserve">Bun_AG23_2.000/Eux_Bob_Jun_18           </t>
  </si>
  <si>
    <t xml:space="preserve">Bun_JA24_6.25/Eux_Bob_Jun_18            </t>
  </si>
  <si>
    <t xml:space="preserve">Bun_FE24_1.750/Eux_Bob_Jun_18           </t>
  </si>
  <si>
    <t xml:space="preserve">Bun_MY24_1.500/Eux_Bob_Jun_18           </t>
  </si>
  <si>
    <t xml:space="preserve">Bun_AG24_1.000/Eux_Bob_Jun_18           </t>
  </si>
  <si>
    <t xml:space="preserve">Bun_FE25_0.500/Eux_Bob_Jun_18           </t>
  </si>
  <si>
    <t xml:space="preserve">Bun_AG25_1.000/Eux_Bun_Jun_18           </t>
  </si>
  <si>
    <t xml:space="preserve">Bun_FE26_0.500/Eux_Bun_Jun_18           </t>
  </si>
  <si>
    <t xml:space="preserve">Bun_AG26_0.000/Eux_Bun_Jun_18           </t>
  </si>
  <si>
    <t xml:space="preserve">Bun_FE27_0.250/Eux_Bun_Jun_18           </t>
  </si>
  <si>
    <t xml:space="preserve">Bun_JL27_6.50/Eux_Bun_Jun_18            </t>
  </si>
  <si>
    <t xml:space="preserve">Bun_AG27_0.500/Eux_Bun_Jun_18           </t>
  </si>
  <si>
    <t xml:space="preserve">Bun_JA28_5.625/Eux_Bun_Jun_18           </t>
  </si>
  <si>
    <t xml:space="preserve">Bun_FE28_0.000/Eux_Bun_Jun_18           </t>
  </si>
  <si>
    <t>Bun_FE28_0.000</t>
  </si>
  <si>
    <t xml:space="preserve">Bun_JL28_4.75/Eux_Bun_Jun_18            </t>
  </si>
  <si>
    <t xml:space="preserve">Bun_JA30_6.25/Eux_Bun_Jun_18            </t>
  </si>
  <si>
    <t xml:space="preserve">Bun_JA31_5.500/Eux_Bun_Jun_18           </t>
  </si>
  <si>
    <t xml:space="preserve">Bun_JL34_4.750/Eux_Bun_Jun_18           </t>
  </si>
  <si>
    <t xml:space="preserve">Bun_JL34_4.750/Eux_Bux_Jun_18           </t>
  </si>
  <si>
    <t xml:space="preserve">Bun_JA37_4.000/Eux_Bun_Jun_18           </t>
  </si>
  <si>
    <t xml:space="preserve">Bun_JA37_4.000/Eux_Bux_Jun_18           </t>
  </si>
  <si>
    <t xml:space="preserve">Bun_JL39_4.25/Eux_Bun_Jun_18            </t>
  </si>
  <si>
    <t xml:space="preserve">Bun_JL39_4.25/Eux_Bux_Jun_18            </t>
  </si>
  <si>
    <t xml:space="preserve">Bun_JL40_4.750/Eux_Bun_Jun_18           </t>
  </si>
  <si>
    <t xml:space="preserve">Bun_JL40_4.750/Eux_Bux_Jun_18           </t>
  </si>
  <si>
    <t xml:space="preserve">Bun_JL42_3.250/Eux_Bux_Jun_18           </t>
  </si>
  <si>
    <t xml:space="preserve">Bun_JL44_2.500/Eux_Bux_Jun_18           </t>
  </si>
  <si>
    <t xml:space="preserve">Bun_AG46_2.500/Eux_Bux_Jun_18           </t>
  </si>
  <si>
    <t xml:space="preserve">Bun_AG48_1.250/Eux_Bux_Jun_18           </t>
  </si>
  <si>
    <t>FINLAND</t>
  </si>
  <si>
    <t xml:space="preserve">Fin_SE18_1.125/Eux_Scz_Jun_18           </t>
  </si>
  <si>
    <t xml:space="preserve">Fin_JL19_4.375/Eux_Scz_Jun_18           </t>
  </si>
  <si>
    <t xml:space="preserve">FINL_AP20_3.375/Eux_Scz_Jun_18          </t>
  </si>
  <si>
    <t xml:space="preserve">Fin_SE20_0.375/Eux_Scz_Jun_18           </t>
  </si>
  <si>
    <t xml:space="preserve">Fin_AP21_3.500/Eux_Scz_Jun_18           </t>
  </si>
  <si>
    <t xml:space="preserve">Finl_AP22_0.000/Eux_Bob_Jun_18          </t>
  </si>
  <si>
    <t xml:space="preserve">FINL_SE22_1.625/Eux_Bob_Jun_18          </t>
  </si>
  <si>
    <t xml:space="preserve">FINL_AP23_1.500/Eux_Bob_Jun_18          </t>
  </si>
  <si>
    <t xml:space="preserve">Fin_SE23_0.000/Eux_Bob_Jun_18           </t>
  </si>
  <si>
    <t xml:space="preserve">FINL_AP24_2.000/Eux_Bob_Jun_18          </t>
  </si>
  <si>
    <t xml:space="preserve">FINL_JL25_4.000/Eux_Bun_Jun_18          </t>
  </si>
  <si>
    <t xml:space="preserve">Fin_SE25_0.875/Eux_Bun_Jun_18           </t>
  </si>
  <si>
    <t xml:space="preserve">Fin_AP26_0.500/Eux_Bun_Jun_18           </t>
  </si>
  <si>
    <t xml:space="preserve">Fin_SE27_0.500/Eux_Bun_Jun_18           </t>
  </si>
  <si>
    <t xml:space="preserve">Fin_JL28_2.750/Eux_Bun_Jun_18           </t>
  </si>
  <si>
    <t xml:space="preserve">Fin_AP31_0.750/Eux_Bun_Jun_18           </t>
  </si>
  <si>
    <t xml:space="preserve">Fin_AP34_1.125/Eux_Bun_Jun_18          </t>
  </si>
  <si>
    <t>Fin_AP34_1.125</t>
  </si>
  <si>
    <t>FI4000306758</t>
  </si>
  <si>
    <t xml:space="preserve">Fin_JL42_2.625/Eux_Bun_Jun_18           </t>
  </si>
  <si>
    <t xml:space="preserve">Finl_AP47_1.375/Eux_Bun_Jun_18          </t>
  </si>
  <si>
    <t>FRANCE</t>
  </si>
  <si>
    <t xml:space="preserve">Oat_OC18_4.250/Eux_Scz_Jun_18           </t>
  </si>
  <si>
    <t xml:space="preserve">Oat_NV18_1.000/Eux_Scz_Jun_18           </t>
  </si>
  <si>
    <t xml:space="preserve">Oat_FE19_0.000/Eux_Scz_Jun_18           </t>
  </si>
  <si>
    <t xml:space="preserve">Oat_AP19_4.25/Eux_Scz_Jun_18            </t>
  </si>
  <si>
    <t xml:space="preserve">Oat_MY19_1.000/Eux_Scz_Jun_18           </t>
  </si>
  <si>
    <t xml:space="preserve">Oat_OC19_3.750/Eux_Scz_Jun_18           </t>
  </si>
  <si>
    <t xml:space="preserve">Oat_NV19_0.500/Eux_Scz_Jun_18           </t>
  </si>
  <si>
    <t xml:space="preserve">Oat_FE20_0.000/Eux_Scz_Jun_18           </t>
  </si>
  <si>
    <t xml:space="preserve">Oat_AP20_3.500/Eux_Scz_Jun_18           </t>
  </si>
  <si>
    <t xml:space="preserve">Oat_MY20_0.000/Eux_Scz_Jun_18           </t>
  </si>
  <si>
    <t xml:space="preserve">Oat_OC20_2.500/Eux_Scz_Jun_18           </t>
  </si>
  <si>
    <t xml:space="preserve">Oat_NV20_0.250/Eux_Scz_Jun_18           </t>
  </si>
  <si>
    <t xml:space="preserve">Oat_FE21_0.000/Eux_Scz_Jun_18           </t>
  </si>
  <si>
    <t>Oat_FE21_0.000</t>
  </si>
  <si>
    <t xml:space="preserve">Oat_AP21_3.750/Eux_Scz_Jun_18           </t>
  </si>
  <si>
    <t xml:space="preserve">Oat_MY21_0.000/Eux_Scz_Jun_18           </t>
  </si>
  <si>
    <t xml:space="preserve">Oat_OC21_3.250/Eux_Bob_Jun_18           </t>
  </si>
  <si>
    <t xml:space="preserve">Oat_AP22_3.000/Eux_Bob_Jun_18           </t>
  </si>
  <si>
    <t xml:space="preserve">Oat_MY22_0.000/Eux_Bob_Jun_18           </t>
  </si>
  <si>
    <t xml:space="preserve">Oat_OC22_2.250/Eux_Bob_Jun_18           </t>
  </si>
  <si>
    <t xml:space="preserve">Oat_MR23_0.000/Eux_Bob_Jun_18           </t>
  </si>
  <si>
    <t xml:space="preserve">Oat_MY23_1.750/Eux_Bob_Jun_18           </t>
  </si>
  <si>
    <t xml:space="preserve">Oat_OC23_4.250/Eux_Bob_Jun_18           </t>
  </si>
  <si>
    <t xml:space="preserve">Oat_MY24_2.250/Eux_Bob_Jun_18           </t>
  </si>
  <si>
    <t xml:space="preserve">Oat_NV24_1.750/Eux_Bob_Jun_18           </t>
  </si>
  <si>
    <t xml:space="preserve">Oat_MY25_0.500/Eux_Oat_Jun_18           </t>
  </si>
  <si>
    <t>FOATM8</t>
  </si>
  <si>
    <t xml:space="preserve">Oat_OC25_6.00/Eux_Oat_Jun_18            </t>
  </si>
  <si>
    <t xml:space="preserve">Oat_NV25_1.000/Eux_Oat_Jun_18           </t>
  </si>
  <si>
    <t xml:space="preserve">Oat_AP26_3.500/Eux_Oat_Jun_18           </t>
  </si>
  <si>
    <t xml:space="preserve">Oat_MY26_0.500/Eux_Oat_Jun_18           </t>
  </si>
  <si>
    <t xml:space="preserve">Oat_NV26_0.250/Eux_Oat_Jun_18           </t>
  </si>
  <si>
    <t xml:space="preserve">Oat_MY27_1.000/Eux_Oat_Jun_18           </t>
  </si>
  <si>
    <t xml:space="preserve">Oat_OC27_2.750/Eux_Oat_Jun_18           </t>
  </si>
  <si>
    <t xml:space="preserve">Oat_MY28_0.750/Eux_Oat_Jun_18           </t>
  </si>
  <si>
    <t xml:space="preserve">Oat_AP29_5.50/Eux_Oat_Jun_18            </t>
  </si>
  <si>
    <t xml:space="preserve">Oat_MY30_2.500/Eux_Oat_Jun_18           </t>
  </si>
  <si>
    <t xml:space="preserve">Oat_MY31_1.500/Eux_Oat_Jun_18           </t>
  </si>
  <si>
    <t xml:space="preserve">Oat_OC32_5.75/Eux_Oat_Jun_18            </t>
  </si>
  <si>
    <t xml:space="preserve">Oat_MY34_1.250/Eux_Oat_Jun_18           </t>
  </si>
  <si>
    <t>Oat_MY34_1.250</t>
  </si>
  <si>
    <t xml:space="preserve">Oat_AP35_4.750/Eux_Oat_Jun_18           </t>
  </si>
  <si>
    <t xml:space="preserve">Oat_MY36_1.250/Eux_Oat_Jun_18           </t>
  </si>
  <si>
    <t xml:space="preserve">Oat_OC38_4.000/Eux_Oat_Jun_18           </t>
  </si>
  <si>
    <t xml:space="preserve">Oat_JN39_1.750/Eux_Oat_Jun_18           </t>
  </si>
  <si>
    <t xml:space="preserve">Oat_AP41_4.500/Eux_Oat_Jun_18           </t>
  </si>
  <si>
    <t xml:space="preserve">Oat_MY45_3.250/Eux_Oat_Jun_18           </t>
  </si>
  <si>
    <t xml:space="preserve">Oat_MY48_2.000/Eux_Oat_Jun_18           </t>
  </si>
  <si>
    <t xml:space="preserve">Oat_AP55_4.000/Eux_Oat_Jun_18           </t>
  </si>
  <si>
    <t xml:space="preserve">Oat_AP60_4.000/Eux_Oat_Jun_18           </t>
  </si>
  <si>
    <t xml:space="preserve">Oat_MY66_1.750/Eux_Oat_Jun_18           </t>
  </si>
  <si>
    <t xml:space="preserve">BTPS_AG18_4.500/Eux_Bts_Jun_18          </t>
  </si>
  <si>
    <t>FBTSM8</t>
  </si>
  <si>
    <t xml:space="preserve">BTPS_OC18_0.300/Eux_Bts_Jun_18          </t>
  </si>
  <si>
    <t xml:space="preserve">Btp_DE18_3.500/Eux_Bts_Jun_18           </t>
  </si>
  <si>
    <t xml:space="preserve">Btp_FE19_4.250/Eux_Bts_Jun_18           </t>
  </si>
  <si>
    <t xml:space="preserve">Btp_MR19_4.500/Eux_Bts_Jun_18           </t>
  </si>
  <si>
    <t xml:space="preserve">BTPS_AP19_0.100/Eux_Bts_Jun_18          </t>
  </si>
  <si>
    <t xml:space="preserve">BTPS_MY19_2.500/Eux_Bts_Jun_18          </t>
  </si>
  <si>
    <t xml:space="preserve">BTPS_AG19_1.500/Eux_Bts_Jun_18          </t>
  </si>
  <si>
    <t xml:space="preserve">Btp_SE19_4.250/Eux_Bts_Jun_18           </t>
  </si>
  <si>
    <t xml:space="preserve">BTPS_OC19_0.050/Eux_Bts_Jun_18          </t>
  </si>
  <si>
    <t xml:space="preserve">BTPS_DE19_1.050/Eux_Bts_Jun_18          </t>
  </si>
  <si>
    <t xml:space="preserve">Btp_FE20_4.500/Eux_Bts_Jun_18           </t>
  </si>
  <si>
    <t xml:space="preserve">BTPS_MR20_4.250/Eux_Bts_Jun_18          </t>
  </si>
  <si>
    <t xml:space="preserve">BTPS_MY20_0.700/Eux_Bts_Jun_18          </t>
  </si>
  <si>
    <t xml:space="preserve">BTPS_JN20_0.350/Eux_Bts_Jun_18          </t>
  </si>
  <si>
    <t xml:space="preserve">BTPS_SE20_4.000/Eux_Bts_Jun_18          </t>
  </si>
  <si>
    <t xml:space="preserve">BTPS_OC20_0.200/Eux_Bts_Jun_18          </t>
  </si>
  <si>
    <t xml:space="preserve">BTPS_NV20_0.650/Eux_Bts_Jun_18          </t>
  </si>
  <si>
    <t xml:space="preserve">BTPS_MR21_3.750/Eux_Bts_Jun_18          </t>
  </si>
  <si>
    <t xml:space="preserve">Btp_MY21_3.750/Eux_Bts_Jun_18           </t>
  </si>
  <si>
    <t xml:space="preserve">BTPS_JN21_0.450/Eux_Bts_Jun_18          </t>
  </si>
  <si>
    <t xml:space="preserve">BTPS_AG21_3.750/Eux_Bts_Jun_18          </t>
  </si>
  <si>
    <t xml:space="preserve">BTPS_SE21_4.750/Eux_Bts_Jun_18          </t>
  </si>
  <si>
    <t xml:space="preserve">BTPS_NV21_0.350/Eux_Btp_Jun_18          </t>
  </si>
  <si>
    <t xml:space="preserve">BTPS_DE21_2.150/Eux_Btp_Jun_18          </t>
  </si>
  <si>
    <t xml:space="preserve">BTPS_MR22_5.000/Eux_Btp_Jun_18          </t>
  </si>
  <si>
    <t xml:space="preserve">BTPS_AP22_1.200/Eux_Btp_Jun_18          </t>
  </si>
  <si>
    <t xml:space="preserve">BTPS_AP22_1.350/Eux_Btp_Jun_18          </t>
  </si>
  <si>
    <t xml:space="preserve">BTPS_AG22_0.900/Eux_Btp_Jun_18          </t>
  </si>
  <si>
    <t xml:space="preserve">Btp_SE22_5.500/Eux_Btp_Jun_18           </t>
  </si>
  <si>
    <t xml:space="preserve">BTPS_SE22_1.450/Eux_Btp_Jun_18          </t>
  </si>
  <si>
    <t xml:space="preserve">BTPS_NV22_5.500/Eux_Btp_Jun_18          </t>
  </si>
  <si>
    <t xml:space="preserve">BTPS_MR23_0.950/Eux_Btp_Jun_18          </t>
  </si>
  <si>
    <t xml:space="preserve">BTPS_MY23_4.500/Eux_Btp_Jun_18          </t>
  </si>
  <si>
    <t xml:space="preserve">BTPS_AG23_4.750/Eux_Btp_Jun_18          </t>
  </si>
  <si>
    <t xml:space="preserve">BTPS_OC23_0.650/Eux_Btp_Jun_18          </t>
  </si>
  <si>
    <t xml:space="preserve">Btp_NV23_9.00/Eux_Btp_Jun_18            </t>
  </si>
  <si>
    <t xml:space="preserve">Btp_DE23_8.50/Eux_Btp_Jun_18            </t>
  </si>
  <si>
    <t xml:space="preserve">BTPS_MR24_4.500/Eux_Btp_Jun_18          </t>
  </si>
  <si>
    <t xml:space="preserve">BTPS_MY24_1.850/Eux_Btp_Jun_18          </t>
  </si>
  <si>
    <t xml:space="preserve">BTPS_SE24_3.750/Eux_Btp_Jun_18          </t>
  </si>
  <si>
    <t xml:space="preserve">BTPS_NV24_1.450/Eux_Btp_Jun_18          </t>
  </si>
  <si>
    <t xml:space="preserve">BTPS_DE24_2.500/Eux_Btp_Jun_18          </t>
  </si>
  <si>
    <t xml:space="preserve">Btp_MR25_5.000/Eux_Btp_Jun_18           </t>
  </si>
  <si>
    <t xml:space="preserve">BTPS_JN25_1.500/Eux_Btp_Jun_18          </t>
  </si>
  <si>
    <t xml:space="preserve">BTPS_DE25_2.000/Eux_Btp_Jun_18          </t>
  </si>
  <si>
    <t xml:space="preserve">Btp_MR26_4.500/Eux_Btp_Jun_18           </t>
  </si>
  <si>
    <t xml:space="preserve">Btp_JN26_1.600/Eux_Btp_Jun_18           </t>
  </si>
  <si>
    <t xml:space="preserve">Btp_NV26_7.25/Eux_Btp_Jun_18            </t>
  </si>
  <si>
    <t xml:space="preserve">BTPS_DE26_1.250/Eux_Btp_Jun_18          </t>
  </si>
  <si>
    <t xml:space="preserve">BTPS_JN27_2.200/Eux_Btp_Jun_18          </t>
  </si>
  <si>
    <t xml:space="preserve">BTPS_AG27_2.050/Eux_Btp_Jun_18          </t>
  </si>
  <si>
    <t xml:space="preserve">Btp_NV27_6.50/Eux_Btp_Jun_18            </t>
  </si>
  <si>
    <t xml:space="preserve">BTPS_FE28_2.000/Eux_Btp_Jun_18          </t>
  </si>
  <si>
    <t>BTPS_FE28_2.000</t>
  </si>
  <si>
    <t xml:space="preserve">Btp_SE28_4.750/Eux_Btp_Jun_18           </t>
  </si>
  <si>
    <t xml:space="preserve">Btp_NV29_5.25/Eux_Btp_Jun_18            </t>
  </si>
  <si>
    <t xml:space="preserve">BTPS_MR30_3.500/Eux_Btp_Jun_18          </t>
  </si>
  <si>
    <t xml:space="preserve">Btp_MY31_6.000/Eux_Btp_Jun_18           </t>
  </si>
  <si>
    <t xml:space="preserve">BTPS_MR32_1.650/Eux_Btp_Jun_18          </t>
  </si>
  <si>
    <t xml:space="preserve">Btp_FE33_5.75/Eux_Btp_Jun_18            </t>
  </si>
  <si>
    <t xml:space="preserve">BTPS_SE33_2.450/Eux_Btp_Jun_18          </t>
  </si>
  <si>
    <t xml:space="preserve">Btp_AG34_5.00/Eux_Btp_Jun_18            </t>
  </si>
  <si>
    <t xml:space="preserve">BTPS_SE36_2.250/Eux_Btp_Jun_18          </t>
  </si>
  <si>
    <t xml:space="preserve">Btp_FE37_4.000/Eux_Btp_Jun_18           </t>
  </si>
  <si>
    <t xml:space="preserve">BTPS_SE38_2.950/Eux_Btp_Jun_18          </t>
  </si>
  <si>
    <t>BTPS_SE38_2.950</t>
  </si>
  <si>
    <t xml:space="preserve">Btp_AG39_5.000/Eux_Btp_Jun_18           </t>
  </si>
  <si>
    <t xml:space="preserve">BTPS_SE40_5.000/Eux_Btp_Jun_18          </t>
  </si>
  <si>
    <t xml:space="preserve">Btp_SE44_4.750/Eux_Btp_Jun_18           </t>
  </si>
  <si>
    <t xml:space="preserve">Btp_SE46_3.250/Eux_Btp_Jun_18           </t>
  </si>
  <si>
    <t xml:space="preserve">BTPS_MR47_2.700/Eux_Btp_Jun_18          </t>
  </si>
  <si>
    <t xml:space="preserve">BTPS_MR48_3.450/Eux_Btp_Jun_18          </t>
  </si>
  <si>
    <t xml:space="preserve">BTPS_MR67_2.800/Eux_Btp_Jun_18          </t>
  </si>
  <si>
    <t>NETHERLANDS</t>
  </si>
  <si>
    <t xml:space="preserve">Dsl_JL18_4.000/Eux_Scz_Jun_18           </t>
  </si>
  <si>
    <t xml:space="preserve">Dsl_JA19_1.250/Eux_Scz_Jun_18           </t>
  </si>
  <si>
    <t xml:space="preserve">Dsl_JL19_4.000/Eux_Scz_Jun_18           </t>
  </si>
  <si>
    <t xml:space="preserve">Dsl_JA20_0.250/Eux_Scz_Jun_18           </t>
  </si>
  <si>
    <t xml:space="preserve">Dsl_JL20_3.500/Eux_Scz_Jun_18           </t>
  </si>
  <si>
    <t xml:space="preserve">Dsl_JL21_3.250/Eux_Bob_Jun_18           </t>
  </si>
  <si>
    <t xml:space="preserve">Dsl_JA22_0.000/Eux_Bob_Jun_18           </t>
  </si>
  <si>
    <t xml:space="preserve">Dsl_JL22_2.250/Eux_Bob_Jun_18           </t>
  </si>
  <si>
    <t xml:space="preserve">Dsl_JA23_3.750/Eux_Bob_Jun_18           </t>
  </si>
  <si>
    <t xml:space="preserve">Dsl_JA23_7.50/Eux_Bob_Jun_18            </t>
  </si>
  <si>
    <t xml:space="preserve">Dsl_JL23_1.750/Eux_Bob_Jun_18           </t>
  </si>
  <si>
    <t xml:space="preserve">Dsl_JA24_0.000/Eux_Bob_Jun_18           </t>
  </si>
  <si>
    <t xml:space="preserve">Dsl_JL24_2.000/Eux_Bob_Jun_18           </t>
  </si>
  <si>
    <t xml:space="preserve">Dsl_JL25_0.250/Eux_Bun_Jun_18           </t>
  </si>
  <si>
    <t xml:space="preserve">Dsl_JL26_0.500/Eux_Bun_Jun_18           </t>
  </si>
  <si>
    <t xml:space="preserve">Dsl_JL27_0.750/Eux_Bun_Jun_18           </t>
  </si>
  <si>
    <t xml:space="preserve">Dsl_JA28_5.50/Eux_Bun_Jun_18            </t>
  </si>
  <si>
    <t xml:space="preserve">Dsl_JA33_2.500/Eux_Bun_Jun_18           </t>
  </si>
  <si>
    <t xml:space="preserve">DSL_JA37_4.000/Eux_Bun_Jun_18           </t>
  </si>
  <si>
    <t xml:space="preserve">DSL_JA42_3.750/Eux_Bun_Jun_18           </t>
  </si>
  <si>
    <t xml:space="preserve">Dsl_JA47_2.750/Eux_Bun_Jun_18           </t>
  </si>
  <si>
    <t>FGBXM8</t>
  </si>
  <si>
    <t>FBTPM8</t>
  </si>
  <si>
    <t>M8</t>
  </si>
  <si>
    <t>IT0005327306</t>
  </si>
  <si>
    <t>IT532730=TT</t>
  </si>
  <si>
    <t>AR6895379</t>
  </si>
  <si>
    <t>Haidar</t>
  </si>
  <si>
    <t>USPF</t>
  </si>
  <si>
    <t>TRIGGER</t>
  </si>
  <si>
    <t>RIC</t>
  </si>
  <si>
    <t>BTP  01-Mar-24  4.5</t>
  </si>
  <si>
    <t>BTP  15-Apr-22  1.35</t>
  </si>
  <si>
    <t>BTP  01-Mar-20  4.25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</si>
</sst>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19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</fonts>
  <fills count="124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104">
    <xf numFmtId="0" fontId="0" fillId="0" borderId="0"/>
    <xf numFmtId="0" fontId="45" fillId="2" borderId="0" applyNumberFormat="0" applyBorder="0" applyAlignment="0" applyProtection="0"/>
    <xf numFmtId="0" fontId="45" fillId="3" borderId="0" applyNumberFormat="0" applyBorder="0" applyAlignment="0" applyProtection="0"/>
    <xf numFmtId="0" fontId="45" fillId="4" borderId="0" applyNumberFormat="0" applyBorder="0" applyAlignment="0" applyProtection="0"/>
    <xf numFmtId="0" fontId="45" fillId="5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19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0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8" fillId="25" borderId="1" applyNumberFormat="0" applyAlignment="0" applyProtection="0"/>
    <xf numFmtId="0" fontId="48" fillId="5" borderId="1" applyNumberFormat="0" applyAlignment="0" applyProtection="0"/>
    <xf numFmtId="0" fontId="56" fillId="0" borderId="2" applyNumberFormat="0" applyFill="0" applyAlignment="0" applyProtection="0"/>
    <xf numFmtId="0" fontId="49" fillId="26" borderId="3" applyNumberFormat="0" applyAlignment="0" applyProtection="0"/>
    <xf numFmtId="0" fontId="49" fillId="8" borderId="3" applyNumberFormat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11" borderId="0" applyNumberFormat="0" applyBorder="0" applyAlignment="0" applyProtection="0"/>
    <xf numFmtId="0" fontId="52" fillId="0" borderId="4" applyNumberFormat="0" applyFill="0" applyAlignment="0" applyProtection="0"/>
    <xf numFmtId="0" fontId="53" fillId="0" borderId="5" applyNumberFormat="0" applyFill="0" applyAlignment="0" applyProtection="0"/>
    <xf numFmtId="0" fontId="54" fillId="0" borderId="6" applyNumberFormat="0" applyFill="0" applyAlignment="0" applyProtection="0"/>
    <xf numFmtId="0" fontId="54" fillId="0" borderId="0" applyNumberFormat="0" applyFill="0" applyBorder="0" applyAlignment="0" applyProtection="0"/>
    <xf numFmtId="0" fontId="55" fillId="3" borderId="1" applyNumberFormat="0" applyAlignment="0" applyProtection="0"/>
    <xf numFmtId="0" fontId="42" fillId="28" borderId="0"/>
    <xf numFmtId="0" fontId="56" fillId="0" borderId="2" applyNumberFormat="0" applyFill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35" fillId="4" borderId="7" applyNumberFormat="0" applyFont="0" applyAlignment="0" applyProtection="0"/>
    <xf numFmtId="0" fontId="35" fillId="4" borderId="8" applyNumberFormat="0" applyFont="0" applyAlignment="0" applyProtection="0"/>
    <xf numFmtId="0" fontId="58" fillId="5" borderId="9" applyNumberFormat="0" applyAlignment="0" applyProtection="0"/>
    <xf numFmtId="9" fontId="19" fillId="0" borderId="0" applyFont="0" applyFill="0" applyBorder="0" applyAlignment="0" applyProtection="0"/>
    <xf numFmtId="0" fontId="43" fillId="29" borderId="0" applyAlignment="0"/>
    <xf numFmtId="0" fontId="6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60" fillId="0" borderId="13" applyNumberFormat="0" applyFill="0" applyAlignment="0" applyProtection="0"/>
    <xf numFmtId="0" fontId="60" fillId="0" borderId="14" applyNumberFormat="0" applyFill="0" applyAlignment="0" applyProtection="0"/>
    <xf numFmtId="0" fontId="47" fillId="8" borderId="0" applyNumberFormat="0" applyBorder="0" applyAlignment="0" applyProtection="0"/>
    <xf numFmtId="0" fontId="51" fillId="9" borderId="0" applyNumberFormat="0" applyBorder="0" applyAlignment="0" applyProtection="0"/>
    <xf numFmtId="0" fontId="61" fillId="0" borderId="0" applyNumberFormat="0" applyFill="0" applyBorder="0" applyAlignment="0" applyProtection="0"/>
    <xf numFmtId="40" fontId="70" fillId="0" borderId="0" applyFont="0" applyFill="0" applyBorder="0" applyAlignment="0" applyProtection="0"/>
    <xf numFmtId="0" fontId="70" fillId="0" borderId="0"/>
    <xf numFmtId="8" fontId="70" fillId="0" borderId="0" applyFont="0" applyFill="0" applyBorder="0" applyAlignment="0" applyProtection="0"/>
    <xf numFmtId="0" fontId="19" fillId="0" borderId="0"/>
    <xf numFmtId="0" fontId="19" fillId="4" borderId="7" applyNumberFormat="0" applyFont="0" applyAlignment="0" applyProtection="0"/>
    <xf numFmtId="0" fontId="19" fillId="4" borderId="8" applyNumberFormat="0" applyFon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19" fillId="0" borderId="0"/>
    <xf numFmtId="0" fontId="19" fillId="0" borderId="0"/>
    <xf numFmtId="9" fontId="79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80" fillId="0" borderId="0"/>
    <xf numFmtId="167" fontId="81" fillId="56" borderId="0"/>
    <xf numFmtId="3" fontId="82" fillId="0" borderId="0" applyFon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0" fillId="57" borderId="55" applyNumberFormat="0" applyFont="0" applyBorder="0" applyAlignment="0" applyProtection="0"/>
    <xf numFmtId="15" fontId="83" fillId="31" borderId="0">
      <alignment horizontal="right"/>
    </xf>
    <xf numFmtId="0" fontId="40" fillId="58" borderId="0" applyNumberFormat="0" applyBorder="0" applyAlignment="0">
      <alignment horizontal="center"/>
    </xf>
    <xf numFmtId="0" fontId="75" fillId="59" borderId="0" applyNumberFormat="0" applyBorder="0" applyAlignment="0"/>
    <xf numFmtId="0" fontId="84" fillId="59" borderId="0">
      <alignment horizontal="centerContinuous"/>
    </xf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6" fillId="0" borderId="0" applyProtection="0"/>
    <xf numFmtId="0" fontId="86" fillId="0" borderId="0" applyProtection="0"/>
    <xf numFmtId="0" fontId="21" fillId="0" borderId="0" applyProtection="0"/>
    <xf numFmtId="0" fontId="21" fillId="0" borderId="0" applyProtection="0"/>
    <xf numFmtId="0" fontId="44" fillId="0" borderId="0" applyProtection="0"/>
    <xf numFmtId="0" fontId="44" fillId="0" borderId="0" applyProtection="0"/>
    <xf numFmtId="0" fontId="85" fillId="0" borderId="0" applyProtection="0"/>
    <xf numFmtId="0" fontId="85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0" fontId="90" fillId="49" borderId="57">
      <alignment horizontal="left"/>
    </xf>
    <xf numFmtId="0" fontId="24" fillId="0" borderId="51" applyNumberFormat="0" applyAlignment="0" applyProtection="0">
      <alignment horizontal="left" vertical="center"/>
    </xf>
    <xf numFmtId="0" fontId="24" fillId="0" borderId="25">
      <alignment horizontal="left" vertical="center"/>
    </xf>
    <xf numFmtId="0" fontId="91" fillId="50" borderId="36">
      <alignment horizontal="center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78" fillId="28" borderId="0">
      <alignment horizontal="center"/>
    </xf>
    <xf numFmtId="0" fontId="92" fillId="31" borderId="0"/>
    <xf numFmtId="0" fontId="93" fillId="29" borderId="9">
      <alignment vertical="center"/>
    </xf>
    <xf numFmtId="10" fontId="70" fillId="60" borderId="55" applyBorder="0">
      <alignment horizontal="center"/>
      <protection locked="0"/>
    </xf>
    <xf numFmtId="184" fontId="94" fillId="0" borderId="0"/>
    <xf numFmtId="9" fontId="95" fillId="0" borderId="0" applyFont="0" applyFill="0" applyBorder="0" applyAlignment="0" applyProtection="0"/>
    <xf numFmtId="10" fontId="95" fillId="0" borderId="0" applyFont="0" applyFill="0" applyBorder="0" applyAlignment="0" applyProtection="0"/>
    <xf numFmtId="0" fontId="96" fillId="56" borderId="0"/>
    <xf numFmtId="0" fontId="19" fillId="31" borderId="0">
      <alignment horizontal="center"/>
    </xf>
    <xf numFmtId="0" fontId="19" fillId="31" borderId="0">
      <alignment horizontal="center"/>
    </xf>
    <xf numFmtId="0" fontId="18" fillId="0" borderId="0"/>
    <xf numFmtId="0" fontId="97" fillId="56" borderId="0"/>
    <xf numFmtId="0" fontId="19" fillId="0" borderId="0" applyNumberFormat="0" applyFill="0" applyBorder="0" applyAlignment="0" applyProtection="0"/>
    <xf numFmtId="0" fontId="96" fillId="56" borderId="0"/>
    <xf numFmtId="0" fontId="98" fillId="61" borderId="0">
      <alignment horizontal="centerContinuous"/>
    </xf>
    <xf numFmtId="0" fontId="99" fillId="25" borderId="0" applyNumberFormat="0" applyBorder="0" applyAlignment="0">
      <alignment horizontal="center"/>
    </xf>
    <xf numFmtId="0" fontId="45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83" fontId="82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45" fillId="7" borderId="0" applyNumberFormat="0" applyBorder="0" applyAlignment="0" applyProtection="0"/>
    <xf numFmtId="0" fontId="45" fillId="8" borderId="0" applyNumberFormat="0" applyBorder="0" applyAlignment="0" applyProtection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3" borderId="0" applyNumberFormat="0" applyBorder="0" applyAlignment="0" applyProtection="0"/>
    <xf numFmtId="0" fontId="45" fillId="14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0" borderId="0" applyNumberFormat="0" applyBorder="0" applyAlignment="0" applyProtection="0"/>
    <xf numFmtId="0" fontId="45" fillId="14" borderId="0" applyNumberFormat="0" applyBorder="0" applyAlignment="0" applyProtection="0"/>
    <xf numFmtId="0" fontId="45" fillId="16" borderId="0" applyNumberFormat="0" applyBorder="0" applyAlignment="0" applyProtection="0"/>
    <xf numFmtId="0" fontId="46" fillId="17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6" fillId="27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18" borderId="0" applyNumberFormat="0" applyBorder="0" applyAlignment="0" applyProtection="0"/>
    <xf numFmtId="0" fontId="46" fillId="19" borderId="0" applyNumberFormat="0" applyBorder="0" applyAlignment="0" applyProtection="0"/>
    <xf numFmtId="0" fontId="46" fillId="23" borderId="0" applyNumberFormat="0" applyBorder="0" applyAlignment="0" applyProtection="0"/>
    <xf numFmtId="0" fontId="47" fillId="8" borderId="0" applyNumberFormat="0" applyBorder="0" applyAlignment="0" applyProtection="0"/>
    <xf numFmtId="0" fontId="48" fillId="25" borderId="1" applyNumberFormat="0" applyAlignment="0" applyProtection="0"/>
    <xf numFmtId="0" fontId="49" fillId="26" borderId="3" applyNumberFormat="0" applyAlignment="0" applyProtection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51" fillId="9" borderId="0" applyNumberFormat="0" applyBorder="0" applyAlignment="0" applyProtection="0"/>
    <xf numFmtId="38" fontId="21" fillId="31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65" fillId="0" borderId="10" applyNumberFormat="0" applyFill="0" applyAlignment="0" applyProtection="0"/>
    <xf numFmtId="0" fontId="66" fillId="0" borderId="11" applyNumberFormat="0" applyFill="0" applyAlignment="0" applyProtection="0"/>
    <xf numFmtId="0" fontId="67" fillId="0" borderId="12" applyNumberFormat="0" applyFill="0" applyAlignment="0" applyProtection="0"/>
    <xf numFmtId="0" fontId="67" fillId="0" borderId="0" applyNumberFormat="0" applyFill="0" applyBorder="0" applyAlignment="0" applyProtection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56" fillId="0" borderId="2" applyNumberFormat="0" applyFill="0" applyAlignment="0" applyProtection="0"/>
    <xf numFmtId="0" fontId="19" fillId="0" borderId="0"/>
    <xf numFmtId="0" fontId="19" fillId="0" borderId="0"/>
    <xf numFmtId="0" fontId="57" fillId="13" borderId="0" applyNumberFormat="0" applyBorder="0" applyAlignment="0" applyProtection="0"/>
    <xf numFmtId="0" fontId="19" fillId="0" borderId="0"/>
    <xf numFmtId="0" fontId="14" fillId="0" borderId="0"/>
    <xf numFmtId="0" fontId="45" fillId="4" borderId="7" applyNumberFormat="0" applyFont="0" applyAlignment="0" applyProtection="0"/>
    <xf numFmtId="0" fontId="58" fillId="25" borderId="9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 applyNumberFormat="0" applyFill="0" applyBorder="0" applyAlignment="0" applyProtection="0"/>
    <xf numFmtId="0" fontId="19" fillId="0" borderId="0"/>
    <xf numFmtId="0" fontId="19" fillId="0" borderId="0"/>
    <xf numFmtId="0" fontId="60" fillId="0" borderId="14" applyNumberFormat="0" applyFill="0" applyAlignment="0" applyProtection="0"/>
    <xf numFmtId="0" fontId="61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0" fillId="0" borderId="0" applyNumberFormat="0" applyFill="0" applyBorder="0" applyAlignment="0" applyProtection="0"/>
    <xf numFmtId="0" fontId="14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3" fillId="0" borderId="0"/>
    <xf numFmtId="0" fontId="13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0" fillId="0" borderId="0"/>
    <xf numFmtId="0" fontId="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19" fillId="0" borderId="0"/>
    <xf numFmtId="0" fontId="19" fillId="0" borderId="0"/>
    <xf numFmtId="0" fontId="19" fillId="0" borderId="0"/>
    <xf numFmtId="0" fontId="116" fillId="0" borderId="0"/>
    <xf numFmtId="0" fontId="11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16" fillId="0" borderId="0"/>
    <xf numFmtId="0" fontId="19" fillId="0" borderId="0"/>
    <xf numFmtId="0" fontId="19" fillId="0" borderId="0"/>
    <xf numFmtId="0" fontId="116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183" fontId="82" fillId="0" borderId="0" applyFont="0" applyFill="0" applyBorder="0" applyAlignment="0" applyProtection="0"/>
    <xf numFmtId="0" fontId="75" fillId="59" borderId="0" applyNumberFormat="0" applyBorder="0" applyAlignment="0"/>
    <xf numFmtId="0" fontId="39" fillId="47" borderId="56">
      <alignment horizontal="center"/>
      <protection locked="0"/>
    </xf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38" fontId="21" fillId="31" borderId="0" applyNumberFormat="0" applyBorder="0" applyAlignment="0" applyProtection="0"/>
    <xf numFmtId="10" fontId="21" fillId="30" borderId="17" applyNumberFormat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 applyNumberFormat="0" applyFill="0" applyBorder="0" applyAlignment="0" applyProtection="0"/>
    <xf numFmtId="0" fontId="45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2" fillId="0" borderId="0" applyFont="0" applyFill="0" applyBorder="0" applyAlignment="0" applyProtection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0" fontId="19" fillId="0" borderId="0"/>
    <xf numFmtId="3" fontId="82" fillId="0" borderId="0" applyFont="0" applyFill="0" applyBorder="0" applyAlignment="0" applyProtection="0"/>
    <xf numFmtId="186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2" fontId="82" fillId="0" borderId="0" applyFont="0" applyFill="0" applyBorder="0" applyAlignment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0" borderId="0"/>
    <xf numFmtId="0" fontId="19" fillId="31" borderId="0">
      <alignment horizont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58" applyNumberFormat="0" applyFill="0" applyAlignment="0">
      <alignment horizontal="center"/>
      <protection locked="0"/>
    </xf>
    <xf numFmtId="185" fontId="43" fillId="0" borderId="58" applyNumberFormat="0" applyFill="0" applyAlignment="0">
      <alignment horizontal="center"/>
      <protection locked="0"/>
    </xf>
    <xf numFmtId="0" fontId="1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7" fillId="82" borderId="0" applyNumberFormat="0" applyBorder="0" applyAlignment="0" applyProtection="0"/>
    <xf numFmtId="0" fontId="45" fillId="7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7" fillId="86" borderId="0" applyNumberFormat="0" applyBorder="0" applyAlignment="0" applyProtection="0"/>
    <xf numFmtId="0" fontId="45" fillId="8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7" fillId="90" borderId="0" applyNumberFormat="0" applyBorder="0" applyAlignment="0" applyProtection="0"/>
    <xf numFmtId="0" fontId="45" fillId="9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7" fillId="94" borderId="0" applyNumberFormat="0" applyBorder="0" applyAlignment="0" applyProtection="0"/>
    <xf numFmtId="0" fontId="45" fillId="10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7" fillId="98" borderId="0" applyNumberFormat="0" applyBorder="0" applyAlignment="0" applyProtection="0"/>
    <xf numFmtId="0" fontId="45" fillId="11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7" fillId="102" borderId="0" applyNumberFormat="0" applyBorder="0" applyAlignment="0" applyProtection="0"/>
    <xf numFmtId="0" fontId="45" fillId="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7" fillId="83" borderId="0" applyNumberFormat="0" applyBorder="0" applyAlignment="0" applyProtection="0"/>
    <xf numFmtId="0" fontId="45" fillId="14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7" fillId="87" borderId="0" applyNumberFormat="0" applyBorder="0" applyAlignment="0" applyProtection="0"/>
    <xf numFmtId="0" fontId="45" fillId="12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7" fillId="91" borderId="0" applyNumberFormat="0" applyBorder="0" applyAlignment="0" applyProtection="0"/>
    <xf numFmtId="0" fontId="45" fillId="1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7" fillId="95" borderId="0" applyNumberFormat="0" applyBorder="0" applyAlignment="0" applyProtection="0"/>
    <xf numFmtId="0" fontId="45" fillId="10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7" fillId="99" borderId="0" applyNumberFormat="0" applyBorder="0" applyAlignment="0" applyProtection="0"/>
    <xf numFmtId="0" fontId="45" fillId="14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7" fillId="103" borderId="0" applyNumberFormat="0" applyBorder="0" applyAlignment="0" applyProtection="0"/>
    <xf numFmtId="0" fontId="45" fillId="16" borderId="0" applyNumberFormat="0" applyBorder="0" applyAlignment="0" applyProtection="0"/>
    <xf numFmtId="0" fontId="143" fillId="84" borderId="0" applyNumberFormat="0" applyBorder="0" applyAlignment="0" applyProtection="0"/>
    <xf numFmtId="0" fontId="46" fillId="17" borderId="0" applyNumberFormat="0" applyBorder="0" applyAlignment="0" applyProtection="0"/>
    <xf numFmtId="0" fontId="143" fillId="88" borderId="0" applyNumberFormat="0" applyBorder="0" applyAlignment="0" applyProtection="0"/>
    <xf numFmtId="0" fontId="46" fillId="12" borderId="0" applyNumberFormat="0" applyBorder="0" applyAlignment="0" applyProtection="0"/>
    <xf numFmtId="0" fontId="143" fillId="92" borderId="0" applyNumberFormat="0" applyBorder="0" applyAlignment="0" applyProtection="0"/>
    <xf numFmtId="0" fontId="46" fillId="15" borderId="0" applyNumberFormat="0" applyBorder="0" applyAlignment="0" applyProtection="0"/>
    <xf numFmtId="0" fontId="143" fillId="96" borderId="0" applyNumberFormat="0" applyBorder="0" applyAlignment="0" applyProtection="0"/>
    <xf numFmtId="0" fontId="46" fillId="18" borderId="0" applyNumberFormat="0" applyBorder="0" applyAlignment="0" applyProtection="0"/>
    <xf numFmtId="0" fontId="143" fillId="100" borderId="0" applyNumberFormat="0" applyBorder="0" applyAlignment="0" applyProtection="0"/>
    <xf numFmtId="0" fontId="46" fillId="19" borderId="0" applyNumberFormat="0" applyBorder="0" applyAlignment="0" applyProtection="0"/>
    <xf numFmtId="0" fontId="143" fillId="104" borderId="0" applyNumberFormat="0" applyBorder="0" applyAlignment="0" applyProtection="0"/>
    <xf numFmtId="0" fontId="46" fillId="20" borderId="0" applyNumberFormat="0" applyBorder="0" applyAlignment="0" applyProtection="0"/>
    <xf numFmtId="0" fontId="143" fillId="81" borderId="0" applyNumberFormat="0" applyBorder="0" applyAlignment="0" applyProtection="0"/>
    <xf numFmtId="0" fontId="46" fillId="27" borderId="0" applyNumberFormat="0" applyBorder="0" applyAlignment="0" applyProtection="0"/>
    <xf numFmtId="0" fontId="143" fillId="85" borderId="0" applyNumberFormat="0" applyBorder="0" applyAlignment="0" applyProtection="0"/>
    <xf numFmtId="0" fontId="46" fillId="21" borderId="0" applyNumberFormat="0" applyBorder="0" applyAlignment="0" applyProtection="0"/>
    <xf numFmtId="0" fontId="143" fillId="89" borderId="0" applyNumberFormat="0" applyBorder="0" applyAlignment="0" applyProtection="0"/>
    <xf numFmtId="0" fontId="46" fillId="22" borderId="0" applyNumberFormat="0" applyBorder="0" applyAlignment="0" applyProtection="0"/>
    <xf numFmtId="0" fontId="143" fillId="93" borderId="0" applyNumberFormat="0" applyBorder="0" applyAlignment="0" applyProtection="0"/>
    <xf numFmtId="0" fontId="46" fillId="18" borderId="0" applyNumberFormat="0" applyBorder="0" applyAlignment="0" applyProtection="0"/>
    <xf numFmtId="0" fontId="143" fillId="97" borderId="0" applyNumberFormat="0" applyBorder="0" applyAlignment="0" applyProtection="0"/>
    <xf numFmtId="0" fontId="46" fillId="19" borderId="0" applyNumberFormat="0" applyBorder="0" applyAlignment="0" applyProtection="0"/>
    <xf numFmtId="0" fontId="143" fillId="101" borderId="0" applyNumberFormat="0" applyBorder="0" applyAlignment="0" applyProtection="0"/>
    <xf numFmtId="0" fontId="46" fillId="23" borderId="0" applyNumberFormat="0" applyBorder="0" applyAlignment="0" applyProtection="0"/>
    <xf numFmtId="0" fontId="134" fillId="75" borderId="0" applyNumberFormat="0" applyBorder="0" applyAlignment="0" applyProtection="0"/>
    <xf numFmtId="0" fontId="47" fillId="8" borderId="0" applyNumberFormat="0" applyBorder="0" applyAlignment="0" applyProtection="0"/>
    <xf numFmtId="0" fontId="49" fillId="105" borderId="0"/>
    <xf numFmtId="0" fontId="138" fillId="78" borderId="63" applyNumberFormat="0" applyAlignment="0" applyProtection="0"/>
    <xf numFmtId="0" fontId="48" fillId="25" borderId="1" applyNumberFormat="0" applyAlignment="0" applyProtection="0"/>
    <xf numFmtId="0" fontId="140" fillId="79" borderId="66" applyNumberFormat="0" applyAlignment="0" applyProtection="0"/>
    <xf numFmtId="0" fontId="49" fillId="26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43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33" fillId="74" borderId="0" applyNumberFormat="0" applyBorder="0" applyAlignment="0" applyProtection="0"/>
    <xf numFmtId="0" fontId="51" fillId="9" borderId="0" applyNumberFormat="0" applyBorder="0" applyAlignment="0" applyProtection="0"/>
    <xf numFmtId="0" fontId="130" fillId="0" borderId="60" applyNumberFormat="0" applyFill="0" applyAlignment="0" applyProtection="0"/>
    <xf numFmtId="0" fontId="65" fillId="0" borderId="10" applyNumberFormat="0" applyFill="0" applyAlignment="0" applyProtection="0"/>
    <xf numFmtId="0" fontId="131" fillId="0" borderId="61" applyNumberFormat="0" applyFill="0" applyAlignment="0" applyProtection="0"/>
    <xf numFmtId="0" fontId="66" fillId="0" borderId="11" applyNumberFormat="0" applyFill="0" applyAlignment="0" applyProtection="0"/>
    <xf numFmtId="0" fontId="132" fillId="0" borderId="62" applyNumberFormat="0" applyFill="0" applyAlignment="0" applyProtection="0"/>
    <xf numFmtId="0" fontId="67" fillId="0" borderId="12" applyNumberFormat="0" applyFill="0" applyAlignment="0" applyProtection="0"/>
    <xf numFmtId="0" fontId="132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36" fillId="77" borderId="63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55" fillId="3" borderId="1" applyNumberFormat="0" applyAlignment="0" applyProtection="0"/>
    <xf numFmtId="0" fontId="139" fillId="0" borderId="65" applyNumberFormat="0" applyFill="0" applyAlignment="0" applyProtection="0"/>
    <xf numFmtId="0" fontId="56" fillId="0" borderId="2" applyNumberFormat="0" applyFill="0" applyAlignment="0" applyProtection="0"/>
    <xf numFmtId="41" fontId="127" fillId="0" borderId="0" applyFont="0" applyFill="0" applyBorder="0" applyAlignment="0" applyProtection="0"/>
    <xf numFmtId="0" fontId="135" fillId="76" borderId="0" applyNumberFormat="0" applyBorder="0" applyAlignment="0" applyProtection="0"/>
    <xf numFmtId="0" fontId="57" fillId="13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19" fillId="4" borderId="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7" fillId="80" borderId="67" applyNumberFormat="0" applyFont="0" applyAlignment="0" applyProtection="0"/>
    <xf numFmtId="0" fontId="45" fillId="4" borderId="7" applyNumberFormat="0" applyFont="0" applyAlignment="0" applyProtection="0"/>
    <xf numFmtId="0" fontId="137" fillId="78" borderId="64" applyNumberFormat="0" applyAlignment="0" applyProtection="0"/>
    <xf numFmtId="0" fontId="58" fillId="25" borderId="9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91" fontId="128" fillId="73" borderId="0">
      <alignment horizontal="center" vertical="center"/>
    </xf>
    <xf numFmtId="192" fontId="19" fillId="0" borderId="0"/>
    <xf numFmtId="192" fontId="19" fillId="0" borderId="0"/>
    <xf numFmtId="192" fontId="19" fillId="0" borderId="0"/>
    <xf numFmtId="0" fontId="19" fillId="0" borderId="0" applyNumberFormat="0" applyFill="0" applyBorder="0" applyAlignment="0" applyProtection="0"/>
    <xf numFmtId="192" fontId="19" fillId="0" borderId="0"/>
    <xf numFmtId="0" fontId="12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9" fillId="0" borderId="0"/>
    <xf numFmtId="0" fontId="142" fillId="0" borderId="68" applyNumberFormat="0" applyFill="0" applyAlignment="0" applyProtection="0"/>
    <xf numFmtId="0" fontId="60" fillId="0" borderId="14" applyNumberFormat="0" applyFill="0" applyAlignment="0" applyProtection="0"/>
    <xf numFmtId="0" fontId="19" fillId="0" borderId="0"/>
    <xf numFmtId="42" fontId="127" fillId="0" borderId="0" applyFont="0" applyFill="0" applyBorder="0" applyAlignment="0" applyProtection="0"/>
    <xf numFmtId="0" fontId="19" fillId="0" borderId="0"/>
    <xf numFmtId="0" fontId="10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/>
    <xf numFmtId="0" fontId="19" fillId="0" borderId="0"/>
    <xf numFmtId="0" fontId="19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0" fillId="0" borderId="0" applyNumberFormat="0" applyFill="0" applyBorder="0" applyAlignment="0" applyProtection="0"/>
    <xf numFmtId="0" fontId="21" fillId="56" borderId="17" applyNumberFormat="0" applyFont="0" applyAlignment="0">
      <protection locked="0"/>
    </xf>
    <xf numFmtId="0" fontId="21" fillId="0" borderId="0"/>
    <xf numFmtId="0" fontId="4" fillId="0" borderId="0"/>
    <xf numFmtId="0" fontId="21" fillId="0" borderId="0"/>
    <xf numFmtId="0" fontId="19" fillId="0" borderId="0"/>
    <xf numFmtId="0" fontId="19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70" fillId="57" borderId="86" applyNumberFormat="0" applyFont="0" applyBorder="0" applyAlignment="0" applyProtection="0"/>
    <xf numFmtId="0" fontId="39" fillId="47" borderId="87">
      <alignment horizontal="center"/>
      <protection locked="0"/>
    </xf>
    <xf numFmtId="0" fontId="67" fillId="0" borderId="88" applyNumberFormat="0" applyFill="0" applyAlignment="0" applyProtection="0"/>
    <xf numFmtId="185" fontId="43" fillId="0" borderId="89" applyNumberFormat="0" applyFill="0" applyAlignment="0">
      <alignment horizontal="center"/>
      <protection locked="0"/>
    </xf>
    <xf numFmtId="10" fontId="70" fillId="60" borderId="86" applyBorder="0">
      <alignment horizontal="center"/>
      <protection locked="0"/>
    </xf>
    <xf numFmtId="0" fontId="3" fillId="0" borderId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75" fillId="59" borderId="0" applyNumberFormat="0" applyBorder="0" applyAlignment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0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9" fillId="47" borderId="87">
      <alignment horizontal="center"/>
      <protection locked="0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3" fillId="0" borderId="0"/>
    <xf numFmtId="0" fontId="3" fillId="0" borderId="0"/>
    <xf numFmtId="0" fontId="2" fillId="0" borderId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0" fontId="2" fillId="82" borderId="0" applyNumberFormat="0" applyBorder="0" applyAlignment="0" applyProtection="0"/>
    <xf numFmtId="208" fontId="175" fillId="7" borderId="0" applyNumberFormat="0" applyBorder="0" applyAlignment="0" applyProtection="0"/>
    <xf numFmtId="0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0" fontId="45" fillId="7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0" fontId="45" fillId="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9" fillId="7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2" fillId="82" borderId="0" applyNumberFormat="0" applyBorder="0" applyAlignment="0" applyProtection="0"/>
    <xf numFmtId="208" fontId="175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19" fillId="7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2" fillId="86" borderId="0" applyNumberFormat="0" applyBorder="0" applyAlignment="0" applyProtection="0"/>
    <xf numFmtId="208" fontId="175" fillId="8" borderId="0" applyNumberFormat="0" applyBorder="0" applyAlignment="0" applyProtection="0"/>
    <xf numFmtId="0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0" fontId="45" fillId="8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0" fontId="45" fillId="3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9" fillId="8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2" fillId="86" borderId="0" applyNumberFormat="0" applyBorder="0" applyAlignment="0" applyProtection="0"/>
    <xf numFmtId="208" fontId="175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0" fontId="2" fillId="90" borderId="0" applyNumberFormat="0" applyBorder="0" applyAlignment="0" applyProtection="0"/>
    <xf numFmtId="208" fontId="175" fillId="9" borderId="0" applyNumberFormat="0" applyBorder="0" applyAlignment="0" applyProtection="0"/>
    <xf numFmtId="0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0" fontId="45" fillId="9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0" fontId="45" fillId="4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9" fillId="9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2" fillId="90" borderId="0" applyNumberFormat="0" applyBorder="0" applyAlignment="0" applyProtection="0"/>
    <xf numFmtId="208" fontId="175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19" fillId="9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4" borderId="0" applyNumberFormat="0" applyBorder="0" applyAlignment="0" applyProtection="0"/>
    <xf numFmtId="208" fontId="175" fillId="10" borderId="0" applyNumberFormat="0" applyBorder="0" applyAlignment="0" applyProtection="0"/>
    <xf numFmtId="0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0" fontId="45" fillId="10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0" fontId="45" fillId="5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9" fillId="10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2" fillId="94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0" fontId="2" fillId="98" borderId="0" applyNumberFormat="0" applyBorder="0" applyAlignment="0" applyProtection="0"/>
    <xf numFmtId="208" fontId="175" fillId="11" borderId="0" applyNumberFormat="0" applyBorder="0" applyAlignment="0" applyProtection="0"/>
    <xf numFmtId="0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0" fontId="45" fillId="11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0" fontId="45" fillId="6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9" fillId="11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2" fillId="98" borderId="0" applyNumberFormat="0" applyBorder="0" applyAlignment="0" applyProtection="0"/>
    <xf numFmtId="208" fontId="175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19" fillId="11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0" fontId="2" fillId="102" borderId="0" applyNumberFormat="0" applyBorder="0" applyAlignment="0" applyProtection="0"/>
    <xf numFmtId="208" fontId="175" fillId="3" borderId="0" applyNumberFormat="0" applyBorder="0" applyAlignment="0" applyProtection="0"/>
    <xf numFmtId="0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0" fontId="45" fillId="3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0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9" fillId="3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2" fillId="102" borderId="0" applyNumberFormat="0" applyBorder="0" applyAlignment="0" applyProtection="0"/>
    <xf numFmtId="208" fontId="175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19" fillId="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83" borderId="0" applyNumberFormat="0" applyBorder="0" applyAlignment="0" applyProtection="0"/>
    <xf numFmtId="208" fontId="175" fillId="14" borderId="0" applyNumberFormat="0" applyBorder="0" applyAlignment="0" applyProtection="0"/>
    <xf numFmtId="0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0" fontId="45" fillId="14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0" fontId="45" fillId="6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9" fillId="14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2" fillId="83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2" fillId="87" borderId="0" applyNumberFormat="0" applyBorder="0" applyAlignment="0" applyProtection="0"/>
    <xf numFmtId="208" fontId="175" fillId="12" borderId="0" applyNumberFormat="0" applyBorder="0" applyAlignment="0" applyProtection="0"/>
    <xf numFmtId="0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45" fillId="12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0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9" fillId="12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2" fillId="87" borderId="0" applyNumberFormat="0" applyBorder="0" applyAlignment="0" applyProtection="0"/>
    <xf numFmtId="208" fontId="175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2" fillId="91" borderId="0" applyNumberFormat="0" applyBorder="0" applyAlignment="0" applyProtection="0"/>
    <xf numFmtId="208" fontId="175" fillId="15" borderId="0" applyNumberFormat="0" applyBorder="0" applyAlignment="0" applyProtection="0"/>
    <xf numFmtId="0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45" fillId="15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0" fontId="45" fillId="13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9" fillId="15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2" fillId="91" borderId="0" applyNumberFormat="0" applyBorder="0" applyAlignment="0" applyProtection="0"/>
    <xf numFmtId="208" fontId="175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0" fontId="2" fillId="95" borderId="0" applyNumberFormat="0" applyBorder="0" applyAlignment="0" applyProtection="0"/>
    <xf numFmtId="208" fontId="175" fillId="10" borderId="0" applyNumberFormat="0" applyBorder="0" applyAlignment="0" applyProtection="0"/>
    <xf numFmtId="0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45" fillId="10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0" fontId="45" fillId="2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9" fillId="10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2" fillId="95" borderId="0" applyNumberFormat="0" applyBorder="0" applyAlignment="0" applyProtection="0"/>
    <xf numFmtId="208" fontId="175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19" fillId="10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0" fontId="2" fillId="99" borderId="0" applyNumberFormat="0" applyBorder="0" applyAlignment="0" applyProtection="0"/>
    <xf numFmtId="208" fontId="175" fillId="14" borderId="0" applyNumberFormat="0" applyBorder="0" applyAlignment="0" applyProtection="0"/>
    <xf numFmtId="0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45" fillId="14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0" fontId="45" fillId="6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9" fillId="14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2" fillId="99" borderId="0" applyNumberFormat="0" applyBorder="0" applyAlignment="0" applyProtection="0"/>
    <xf numFmtId="208" fontId="175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19" fillId="14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0" fontId="2" fillId="103" borderId="0" applyNumberFormat="0" applyBorder="0" applyAlignment="0" applyProtection="0"/>
    <xf numFmtId="208" fontId="175" fillId="16" borderId="0" applyNumberFormat="0" applyBorder="0" applyAlignment="0" applyProtection="0"/>
    <xf numFmtId="0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45" fillId="16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0" fontId="45" fillId="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9" fillId="16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2" fillId="103" borderId="0" applyNumberFormat="0" applyBorder="0" applyAlignment="0" applyProtection="0"/>
    <xf numFmtId="208" fontId="175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0" fontId="143" fillId="84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76" fillId="17" borderId="0" applyNumberFormat="0" applyBorder="0" applyAlignment="0" applyProtection="0"/>
    <xf numFmtId="0" fontId="46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43" fillId="84" borderId="0" applyNumberFormat="0" applyBorder="0" applyAlignment="0" applyProtection="0"/>
    <xf numFmtId="0" fontId="46" fillId="6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7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0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76" fillId="12" borderId="0" applyNumberFormat="0" applyBorder="0" applyAlignment="0" applyProtection="0"/>
    <xf numFmtId="0" fontId="46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43" fillId="88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0" fontId="143" fillId="92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76" fillId="15" borderId="0" applyNumberFormat="0" applyBorder="0" applyAlignment="0" applyProtection="0"/>
    <xf numFmtId="0" fontId="46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43" fillId="92" borderId="0" applyNumberFormat="0" applyBorder="0" applyAlignment="0" applyProtection="0"/>
    <xf numFmtId="0" fontId="46" fillId="13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5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6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6" borderId="0" applyNumberFormat="0" applyBorder="0" applyAlignment="0" applyProtection="0"/>
    <xf numFmtId="0" fontId="46" fillId="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100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100" borderId="0" applyNumberFormat="0" applyBorder="0" applyAlignment="0" applyProtection="0"/>
    <xf numFmtId="0" fontId="46" fillId="6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0" fontId="143" fillId="104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76" fillId="20" borderId="0" applyNumberFormat="0" applyBorder="0" applyAlignment="0" applyProtection="0"/>
    <xf numFmtId="0" fontId="46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43" fillId="104" borderId="0" applyNumberFormat="0" applyBorder="0" applyAlignment="0" applyProtection="0"/>
    <xf numFmtId="0" fontId="46" fillId="3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0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0" fontId="143" fillId="81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76" fillId="27" borderId="0" applyNumberFormat="0" applyBorder="0" applyAlignment="0" applyProtection="0"/>
    <xf numFmtId="0" fontId="46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43" fillId="81" borderId="0" applyNumberFormat="0" applyBorder="0" applyAlignment="0" applyProtection="0"/>
    <xf numFmtId="0" fontId="46" fillId="19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7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0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76" fillId="21" borderId="0" applyNumberFormat="0" applyBorder="0" applyAlignment="0" applyProtection="0"/>
    <xf numFmtId="0" fontId="46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43" fillId="85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1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0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76" fillId="22" borderId="0" applyNumberFormat="0" applyBorder="0" applyAlignment="0" applyProtection="0"/>
    <xf numFmtId="0" fontId="46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43" fillId="89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22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0" fontId="143" fillId="93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76" fillId="18" borderId="0" applyNumberFormat="0" applyBorder="0" applyAlignment="0" applyProtection="0"/>
    <xf numFmtId="0" fontId="46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43" fillId="93" borderId="0" applyNumberFormat="0" applyBorder="0" applyAlignment="0" applyProtection="0"/>
    <xf numFmtId="0" fontId="46" fillId="10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8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0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76" fillId="19" borderId="0" applyNumberFormat="0" applyBorder="0" applyAlignment="0" applyProtection="0"/>
    <xf numFmtId="0" fontId="46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43" fillId="97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19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0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76" fillId="23" borderId="0" applyNumberFormat="0" applyBorder="0" applyAlignment="0" applyProtection="0"/>
    <xf numFmtId="0" fontId="46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43" fillId="101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23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0" fontId="134" fillId="75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77" fillId="8" borderId="0" applyNumberFormat="0" applyBorder="0" applyAlignment="0" applyProtection="0"/>
    <xf numFmtId="0" fontId="47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34" fillId="75" borderId="0" applyNumberFormat="0" applyBorder="0" applyAlignment="0" applyProtection="0"/>
    <xf numFmtId="0" fontId="47" fillId="24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8" borderId="0" applyNumberFormat="0" applyBorder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138" fillId="78" borderId="63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78" fillId="25" borderId="85" applyNumberFormat="0" applyAlignment="0" applyProtection="0"/>
    <xf numFmtId="0" fontId="48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38" fillId="78" borderId="63" applyNumberFormat="0" applyAlignment="0" applyProtection="0"/>
    <xf numFmtId="0" fontId="48" fillId="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5" borderId="85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0" fontId="140" fillId="79" borderId="66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79" fillId="26" borderId="3" applyNumberFormat="0" applyAlignment="0" applyProtection="0"/>
    <xf numFmtId="0" fontId="4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40" fillId="79" borderId="66" applyNumberFormat="0" applyAlignment="0" applyProtection="0"/>
    <xf numFmtId="0" fontId="49" fillId="8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8" fontId="19" fillId="26" borderId="3" applyNumberFormat="0" applyAlignment="0" applyProtection="0"/>
    <xf numFmtId="209" fontId="85" fillId="0" borderId="0"/>
    <xf numFmtId="209" fontId="85" fillId="0" borderId="0"/>
    <xf numFmtId="208" fontId="19" fillId="50" borderId="0"/>
    <xf numFmtId="208" fontId="180" fillId="50" borderId="0"/>
    <xf numFmtId="208" fontId="180" fillId="50" borderId="0"/>
    <xf numFmtId="208" fontId="180" fillId="50" borderId="0"/>
    <xf numFmtId="41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189" fontId="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0" fontId="19" fillId="119" borderId="0" applyNumberFormat="0" applyBorder="0" applyAlignment="0" applyProtection="0"/>
    <xf numFmtId="0" fontId="19" fillId="11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1" fillId="0" borderId="0"/>
    <xf numFmtId="208" fontId="181" fillId="0" borderId="0"/>
    <xf numFmtId="208" fontId="18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82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9" fontId="182" fillId="0" borderId="17" applyNumberFormat="0">
      <protection locked="0"/>
    </xf>
    <xf numFmtId="190" fontId="19" fillId="0" borderId="0" applyFon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3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3" fillId="74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4" fillId="9" borderId="0" applyNumberFormat="0" applyBorder="0" applyAlignment="0" applyProtection="0"/>
    <xf numFmtId="0" fontId="51" fillId="9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3" fillId="74" borderId="0" applyNumberFormat="0" applyBorder="0" applyAlignment="0" applyProtection="0"/>
    <xf numFmtId="0" fontId="51" fillId="11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2" fillId="120" borderId="24" applyNumberFormat="0" applyBorder="0" applyAlignment="0" applyProtection="0">
      <alignment textRotation="9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0" fillId="0" borderId="6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5" fillId="0" borderId="10" applyNumberFormat="0" applyFill="0" applyAlignment="0" applyProtection="0"/>
    <xf numFmtId="0" fontId="65" fillId="0" borderId="10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0" fillId="0" borderId="60" applyNumberFormat="0" applyFill="0" applyAlignment="0" applyProtection="0"/>
    <xf numFmtId="0" fontId="52" fillId="0" borderId="4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1" fillId="0" borderId="6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6" fillId="0" borderId="11" applyNumberFormat="0" applyFill="0" applyAlignment="0" applyProtection="0"/>
    <xf numFmtId="0" fontId="66" fillId="0" borderId="11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1" fillId="0" borderId="61" applyNumberFormat="0" applyFill="0" applyAlignment="0" applyProtection="0"/>
    <xf numFmtId="0" fontId="53" fillId="0" borderId="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6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67" fillId="0" borderId="88" applyNumberFormat="0" applyFill="0" applyAlignment="0" applyProtection="0"/>
    <xf numFmtId="0" fontId="67" fillId="0" borderId="8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62" applyNumberFormat="0" applyFill="0" applyAlignment="0" applyProtection="0"/>
    <xf numFmtId="0" fontId="54" fillId="0" borderId="6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2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2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9" fillId="0" borderId="0" applyNumberFormat="0" applyFill="0" applyBorder="0" applyAlignment="0" applyProtection="0">
      <alignment vertical="top"/>
      <protection locked="0"/>
    </xf>
    <xf numFmtId="208" fontId="185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6" fillId="77" borderId="63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86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55" fillId="3" borderId="85" applyNumberFormat="0" applyAlignment="0" applyProtection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185" fontId="43" fillId="0" borderId="89" applyNumberFormat="0" applyFill="0" applyAlignment="0">
      <alignment horizontal="center"/>
      <protection locked="0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7" fillId="0" borderId="2" applyNumberFormat="0" applyFill="0" applyAlignment="0" applyProtection="0"/>
    <xf numFmtId="0" fontId="56" fillId="0" borderId="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9" fillId="0" borderId="65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8" fillId="13" borderId="0" applyNumberFormat="0" applyBorder="0" applyAlignment="0" applyProtection="0"/>
    <xf numFmtId="0" fontId="57" fillId="13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5" fillId="76" borderId="0" applyNumberFormat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>
      <alignment horizontal="left" wrapText="1"/>
    </xf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0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8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19" fillId="0" borderId="0"/>
    <xf numFmtId="0" fontId="45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1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19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0" fontId="2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19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208" fontId="2" fillId="0" borderId="0"/>
    <xf numFmtId="0" fontId="2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45" fillId="4" borderId="91" applyNumberFormat="0" applyFont="0" applyAlignment="0" applyProtection="0"/>
    <xf numFmtId="208" fontId="19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19" fillId="4" borderId="91" applyNumberFormat="0" applyFont="0" applyAlignment="0" applyProtection="0"/>
    <xf numFmtId="0" fontId="45" fillId="4" borderId="91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0" fontId="19" fillId="4" borderId="8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0" fontId="45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0" fontId="19" fillId="4" borderId="91" applyNumberFormat="0" applyFont="0" applyAlignment="0" applyProtection="0"/>
    <xf numFmtId="0" fontId="19" fillId="4" borderId="8" applyNumberFormat="0" applyFont="0" applyAlignment="0" applyProtection="0"/>
    <xf numFmtId="0" fontId="19" fillId="4" borderId="91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2" fillId="80" borderId="67" applyNumberFormat="0" applyFon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37" fillId="78" borderId="64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0" fillId="25" borderId="90" applyNumberFormat="0" applyAlignment="0" applyProtection="0"/>
    <xf numFmtId="0" fontId="58" fillId="2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37" fillId="78" borderId="64" applyNumberFormat="0" applyAlignment="0" applyProtection="0"/>
    <xf numFmtId="0" fontId="58" fillId="5" borderId="90" applyNumberFormat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1" fillId="0" borderId="93" applyNumberFormat="0" applyAlignment="0" applyProtection="0"/>
    <xf numFmtId="0" fontId="95" fillId="34" borderId="0" applyNumberFormat="0" applyFont="0" applyBorder="0" applyAlignment="0" applyProtection="0"/>
    <xf numFmtId="0" fontId="21" fillId="35" borderId="73" applyNumberFormat="0" applyFont="0" applyBorder="0" applyAlignment="0" applyProtection="0">
      <alignment horizontal="center"/>
    </xf>
    <xf numFmtId="0" fontId="21" fillId="32" borderId="73" applyNumberFormat="0" applyFont="0" applyBorder="0" applyAlignment="0" applyProtection="0">
      <alignment horizontal="center"/>
    </xf>
    <xf numFmtId="0" fontId="95" fillId="0" borderId="94" applyNumberFormat="0" applyAlignment="0" applyProtection="0"/>
    <xf numFmtId="0" fontId="95" fillId="0" borderId="95" applyNumberFormat="0" applyAlignment="0" applyProtection="0"/>
    <xf numFmtId="0" fontId="191" fillId="0" borderId="96" applyNumberForma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1" fontId="85" fillId="0" borderId="0"/>
    <xf numFmtId="211" fontId="85" fillId="0" borderId="0"/>
    <xf numFmtId="191" fontId="128" fillId="73" borderId="0">
      <alignment horizontal="center" vertical="center"/>
    </xf>
    <xf numFmtId="0" fontId="127" fillId="0" borderId="74" applyNumberFormat="0" applyBorder="0"/>
    <xf numFmtId="0" fontId="19" fillId="34" borderId="0" applyNumberFormat="0" applyBorder="0" applyAlignment="0">
      <protection locked="0"/>
    </xf>
    <xf numFmtId="0" fontId="19" fillId="34" borderId="0" applyNumberFormat="0" applyBorder="0" applyAlignment="0">
      <protection locked="0"/>
    </xf>
    <xf numFmtId="0" fontId="1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2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2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42" fillId="0" borderId="68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2" fillId="0" borderId="92" applyNumberFormat="0" applyFill="0" applyAlignment="0" applyProtection="0"/>
    <xf numFmtId="0" fontId="60" fillId="0" borderId="92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42" fillId="0" borderId="68" applyNumberFormat="0" applyFill="0" applyAlignment="0" applyProtection="0"/>
    <xf numFmtId="0" fontId="60" fillId="0" borderId="13" applyNumberFormat="0" applyFill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9" fillId="33" borderId="18" applyNumberFormat="0" applyFont="0" applyBorder="0" applyAlignment="0" applyProtection="0">
      <alignment horizontal="left"/>
    </xf>
    <xf numFmtId="0" fontId="19" fillId="33" borderId="18" applyNumberFormat="0" applyFont="0" applyBorder="0" applyAlignment="0" applyProtection="0">
      <alignment horizontal="left"/>
    </xf>
    <xf numFmtId="0" fontId="19" fillId="37" borderId="0" applyNumberFormat="0" applyBorder="0" applyAlignment="0">
      <protection locked="0"/>
    </xf>
    <xf numFmtId="0" fontId="19" fillId="37" borderId="0" applyNumberFormat="0" applyBorder="0" applyAlignment="0">
      <protection locked="0"/>
    </xf>
    <xf numFmtId="0" fontId="19" fillId="31" borderId="0" applyNumberFormat="0" applyFont="0" applyFill="0" applyBorder="0" applyProtection="0">
      <alignment horizontal="center" textRotation="90" wrapText="1"/>
    </xf>
    <xf numFmtId="0" fontId="19" fillId="31" borderId="0" applyNumberFormat="0" applyFont="0" applyFill="0" applyBorder="0" applyProtection="0">
      <alignment horizontal="center" textRotation="90" wrapText="1"/>
    </xf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03" fillId="0" borderId="0" applyNumberFormat="0" applyFill="0" applyBorder="0" applyAlignment="0" applyProtection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208" fontId="19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1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0" fontId="48" fillId="25" borderId="85" applyNumberFormat="0" applyAlignment="0" applyProtection="0"/>
    <xf numFmtId="0" fontId="67" fillId="0" borderId="88" applyNumberFormat="0" applyFill="0" applyAlignment="0" applyProtection="0"/>
    <xf numFmtId="0" fontId="45" fillId="4" borderId="91" applyNumberFormat="0" applyFont="0" applyAlignment="0" applyProtection="0"/>
    <xf numFmtId="0" fontId="58" fillId="25" borderId="90" applyNumberFormat="0" applyAlignment="0" applyProtection="0"/>
    <xf numFmtId="0" fontId="60" fillId="0" borderId="92" applyNumberFormat="0" applyFill="0" applyAlignment="0" applyProtection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6" fontId="82" fillId="0" borderId="0" applyFont="0" applyFill="0" applyBorder="0" applyAlignment="0" applyProtection="0"/>
    <xf numFmtId="185" fontId="43" fillId="0" borderId="89" applyNumberFormat="0" applyFill="0" applyAlignment="0">
      <alignment horizontal="center"/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6" fillId="0" borderId="0" applyProtection="0"/>
    <xf numFmtId="0" fontId="21" fillId="0" borderId="0" applyProtection="0"/>
    <xf numFmtId="0" fontId="44" fillId="0" borderId="0" applyProtection="0"/>
    <xf numFmtId="0" fontId="85" fillId="0" borderId="0" applyProtection="0"/>
    <xf numFmtId="0" fontId="87" fillId="0" borderId="0" applyProtection="0"/>
    <xf numFmtId="0" fontId="88" fillId="0" borderId="0" applyProtection="0"/>
    <xf numFmtId="0" fontId="89" fillId="0" borderId="0" applyProtection="0"/>
    <xf numFmtId="0" fontId="21" fillId="0" borderId="0">
      <alignment horizontal="center"/>
    </xf>
    <xf numFmtId="0" fontId="42" fillId="28" borderId="0"/>
    <xf numFmtId="0" fontId="78" fillId="28" borderId="0">
      <alignment horizontal="center"/>
    </xf>
    <xf numFmtId="0" fontId="19" fillId="31" borderId="0">
      <alignment horizontal="center"/>
    </xf>
    <xf numFmtId="0" fontId="19" fillId="0" borderId="0"/>
    <xf numFmtId="0" fontId="19" fillId="0" borderId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94" fillId="0" borderId="0" applyNumberForma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212" fontId="1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0" fillId="0" borderId="0" applyNumberFormat="0" applyFill="0" applyBorder="0" applyAlignment="0" applyProtection="0"/>
    <xf numFmtId="0" fontId="1" fillId="0" borderId="0"/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  <xf numFmtId="185" fontId="43" fillId="0" borderId="89" applyNumberFormat="0" applyFill="0" applyAlignment="0">
      <alignment horizontal="center"/>
      <protection locked="0"/>
    </xf>
  </cellStyleXfs>
  <cellXfs count="1028">
    <xf numFmtId="0" fontId="0" fillId="0" borderId="0" xfId="0"/>
    <xf numFmtId="0" fontId="23" fillId="0" borderId="0" xfId="0" applyFont="1"/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3" fillId="0" borderId="0" xfId="0" quotePrefix="1" applyFont="1"/>
    <xf numFmtId="0" fontId="24" fillId="0" borderId="21" xfId="0" applyFont="1" applyBorder="1" applyAlignment="1">
      <alignment horizontal="center"/>
    </xf>
    <xf numFmtId="0" fontId="24" fillId="0" borderId="0" xfId="0" applyFont="1"/>
    <xf numFmtId="0" fontId="23" fillId="0" borderId="21" xfId="0" applyFont="1" applyBorder="1"/>
    <xf numFmtId="0" fontId="24" fillId="0" borderId="21" xfId="0" applyFont="1" applyBorder="1"/>
    <xf numFmtId="0" fontId="23" fillId="0" borderId="21" xfId="0" applyFont="1" applyBorder="1" applyAlignment="1">
      <alignment horizontal="center"/>
    </xf>
    <xf numFmtId="0" fontId="23" fillId="34" borderId="22" xfId="0" applyFont="1" applyFill="1" applyBorder="1"/>
    <xf numFmtId="164" fontId="23" fillId="34" borderId="22" xfId="0" applyNumberFormat="1" applyFont="1" applyFill="1" applyBorder="1"/>
    <xf numFmtId="37" fontId="23" fillId="34" borderId="22" xfId="0" applyNumberFormat="1" applyFont="1" applyFill="1" applyBorder="1"/>
    <xf numFmtId="37" fontId="23" fillId="34" borderId="22" xfId="0" applyNumberFormat="1" applyFont="1" applyFill="1" applyBorder="1" applyAlignment="1">
      <alignment horizontal="center"/>
    </xf>
    <xf numFmtId="0" fontId="23" fillId="34" borderId="22" xfId="0" applyNumberFormat="1" applyFont="1" applyFill="1" applyBorder="1"/>
    <xf numFmtId="165" fontId="23" fillId="34" borderId="22" xfId="0" applyNumberFormat="1" applyFont="1" applyFill="1" applyBorder="1"/>
    <xf numFmtId="164" fontId="23" fillId="0" borderId="23" xfId="0" applyNumberFormat="1" applyFont="1" applyBorder="1"/>
    <xf numFmtId="0" fontId="23" fillId="0" borderId="23" xfId="0" applyFont="1" applyBorder="1"/>
    <xf numFmtId="37" fontId="23" fillId="0" borderId="23" xfId="0" applyNumberFormat="1" applyFont="1" applyBorder="1"/>
    <xf numFmtId="164" fontId="23" fillId="0" borderId="0" xfId="0" applyNumberFormat="1" applyFont="1"/>
    <xf numFmtId="164" fontId="23" fillId="37" borderId="22" xfId="0" applyNumberFormat="1" applyFont="1" applyFill="1" applyBorder="1"/>
    <xf numFmtId="37" fontId="23" fillId="37" borderId="22" xfId="0" applyNumberFormat="1" applyFont="1" applyFill="1" applyBorder="1"/>
    <xf numFmtId="37" fontId="23" fillId="37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165" fontId="23" fillId="37" borderId="22" xfId="0" applyNumberFormat="1" applyFont="1" applyFill="1" applyBorder="1"/>
    <xf numFmtId="166" fontId="23" fillId="37" borderId="22" xfId="0" applyNumberFormat="1" applyFont="1" applyFill="1" applyBorder="1"/>
    <xf numFmtId="0" fontId="23" fillId="37" borderId="22" xfId="0" applyFont="1" applyFill="1" applyBorder="1"/>
    <xf numFmtId="0" fontId="23" fillId="37" borderId="0" xfId="0" applyFont="1" applyFill="1"/>
    <xf numFmtId="164" fontId="23" fillId="37" borderId="23" xfId="0" applyNumberFormat="1" applyFont="1" applyFill="1" applyBorder="1"/>
    <xf numFmtId="37" fontId="23" fillId="37" borderId="23" xfId="0" applyNumberFormat="1" applyFont="1" applyFill="1" applyBorder="1"/>
    <xf numFmtId="0" fontId="23" fillId="37" borderId="23" xfId="0" applyFont="1" applyFill="1" applyBorder="1"/>
    <xf numFmtId="0" fontId="26" fillId="0" borderId="0" xfId="0" applyFont="1"/>
    <xf numFmtId="0" fontId="26" fillId="0" borderId="21" xfId="0" applyFont="1" applyBorder="1" applyAlignment="1">
      <alignment horizontal="center"/>
    </xf>
    <xf numFmtId="167" fontId="26" fillId="37" borderId="22" xfId="0" applyNumberFormat="1" applyFont="1" applyFill="1" applyBorder="1"/>
    <xf numFmtId="167" fontId="26" fillId="34" borderId="22" xfId="0" applyNumberFormat="1" applyFont="1" applyFill="1" applyBorder="1"/>
    <xf numFmtId="171" fontId="24" fillId="34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0" fontId="24" fillId="34" borderId="22" xfId="0" applyNumberFormat="1" applyFont="1" applyFill="1" applyBorder="1"/>
    <xf numFmtId="0" fontId="27" fillId="0" borderId="0" xfId="0" applyFont="1"/>
    <xf numFmtId="0" fontId="29" fillId="0" borderId="0" xfId="0" applyFont="1"/>
    <xf numFmtId="0" fontId="29" fillId="0" borderId="21" xfId="0" applyFont="1" applyBorder="1" applyAlignment="1">
      <alignment horizontal="center"/>
    </xf>
    <xf numFmtId="0" fontId="29" fillId="0" borderId="0" xfId="0" applyFont="1" applyAlignment="1">
      <alignment horizontal="center"/>
    </xf>
    <xf numFmtId="166" fontId="29" fillId="37" borderId="22" xfId="0" applyNumberFormat="1" applyFont="1" applyFill="1" applyBorder="1"/>
    <xf numFmtId="166" fontId="29" fillId="34" borderId="22" xfId="0" applyNumberFormat="1" applyFont="1" applyFill="1" applyBorder="1"/>
    <xf numFmtId="0" fontId="24" fillId="33" borderId="0" xfId="0" applyFont="1" applyFill="1"/>
    <xf numFmtId="0" fontId="24" fillId="38" borderId="0" xfId="0" applyFont="1" applyFill="1"/>
    <xf numFmtId="0" fontId="30" fillId="38" borderId="0" xfId="0" applyFont="1" applyFill="1"/>
    <xf numFmtId="0" fontId="23" fillId="36" borderId="22" xfId="0" applyFont="1" applyFill="1" applyBorder="1"/>
    <xf numFmtId="164" fontId="23" fillId="36" borderId="22" xfId="0" applyNumberFormat="1" applyFont="1" applyFill="1" applyBorder="1"/>
    <xf numFmtId="0" fontId="23" fillId="39" borderId="23" xfId="0" applyFont="1" applyFill="1" applyBorder="1"/>
    <xf numFmtId="164" fontId="23" fillId="39" borderId="23" xfId="0" applyNumberFormat="1" applyFont="1" applyFill="1" applyBorder="1"/>
    <xf numFmtId="164" fontId="23" fillId="34" borderId="23" xfId="0" applyNumberFormat="1" applyFont="1" applyFill="1" applyBorder="1"/>
    <xf numFmtId="0" fontId="28" fillId="37" borderId="22" xfId="0" applyFont="1" applyFill="1" applyBorder="1"/>
    <xf numFmtId="164" fontId="28" fillId="37" borderId="22" xfId="0" applyNumberFormat="1" applyFont="1" applyFill="1" applyBorder="1"/>
    <xf numFmtId="0" fontId="23" fillId="40" borderId="23" xfId="0" applyFont="1" applyFill="1" applyBorder="1"/>
    <xf numFmtId="164" fontId="23" fillId="40" borderId="23" xfId="0" applyNumberFormat="1" applyFont="1" applyFill="1" applyBorder="1"/>
    <xf numFmtId="37" fontId="23" fillId="40" borderId="23" xfId="0" applyNumberFormat="1" applyFont="1" applyFill="1" applyBorder="1"/>
    <xf numFmtId="0" fontId="26" fillId="37" borderId="23" xfId="0" applyFont="1" applyFill="1" applyBorder="1"/>
    <xf numFmtId="164" fontId="26" fillId="37" borderId="23" xfId="0" applyNumberFormat="1" applyFont="1" applyFill="1" applyBorder="1"/>
    <xf numFmtId="0" fontId="23" fillId="41" borderId="23" xfId="0" applyFont="1" applyFill="1" applyBorder="1"/>
    <xf numFmtId="164" fontId="23" fillId="41" borderId="23" xfId="0" applyNumberFormat="1" applyFont="1" applyFill="1" applyBorder="1"/>
    <xf numFmtId="0" fontId="26" fillId="41" borderId="22" xfId="0" applyFont="1" applyFill="1" applyBorder="1"/>
    <xf numFmtId="164" fontId="26" fillId="41" borderId="22" xfId="0" applyNumberFormat="1" applyFont="1" applyFill="1" applyBorder="1"/>
    <xf numFmtId="0" fontId="24" fillId="39" borderId="22" xfId="0" applyFont="1" applyFill="1" applyBorder="1"/>
    <xf numFmtId="164" fontId="24" fillId="39" borderId="22" xfId="0" applyNumberFormat="1" applyFont="1" applyFill="1" applyBorder="1"/>
    <xf numFmtId="0" fontId="28" fillId="42" borderId="23" xfId="0" applyFont="1" applyFill="1" applyBorder="1"/>
    <xf numFmtId="164" fontId="28" fillId="42" borderId="23" xfId="0" applyNumberFormat="1" applyFont="1" applyFill="1" applyBorder="1"/>
    <xf numFmtId="0" fontId="23" fillId="41" borderId="22" xfId="0" applyFont="1" applyFill="1" applyBorder="1"/>
    <xf numFmtId="164" fontId="23" fillId="41" borderId="22" xfId="0" applyNumberFormat="1" applyFont="1" applyFill="1" applyBorder="1"/>
    <xf numFmtId="0" fontId="23" fillId="38" borderId="23" xfId="0" applyFont="1" applyFill="1" applyBorder="1"/>
    <xf numFmtId="164" fontId="23" fillId="38" borderId="23" xfId="0" applyNumberFormat="1" applyFont="1" applyFill="1" applyBorder="1"/>
    <xf numFmtId="37" fontId="28" fillId="37" borderId="23" xfId="0" applyNumberFormat="1" applyFont="1" applyFill="1" applyBorder="1"/>
    <xf numFmtId="2" fontId="24" fillId="36" borderId="0" xfId="0" applyNumberFormat="1" applyFont="1" applyFill="1"/>
    <xf numFmtId="166" fontId="29" fillId="38" borderId="22" xfId="0" applyNumberFormat="1" applyFont="1" applyFill="1" applyBorder="1"/>
    <xf numFmtId="168" fontId="24" fillId="33" borderId="0" xfId="0" applyNumberFormat="1" applyFont="1" applyFill="1"/>
    <xf numFmtId="37" fontId="23" fillId="43" borderId="23" xfId="0" applyNumberFormat="1" applyFont="1" applyFill="1" applyBorder="1"/>
    <xf numFmtId="37" fontId="23" fillId="44" borderId="22" xfId="0" applyNumberFormat="1" applyFont="1" applyFill="1" applyBorder="1"/>
    <xf numFmtId="37" fontId="23" fillId="45" borderId="22" xfId="0" applyNumberFormat="1" applyFont="1" applyFill="1" applyBorder="1"/>
    <xf numFmtId="164" fontId="23" fillId="45" borderId="22" xfId="0" applyNumberFormat="1" applyFont="1" applyFill="1" applyBorder="1"/>
    <xf numFmtId="37" fontId="23" fillId="45" borderId="22" xfId="0" applyNumberFormat="1" applyFont="1" applyFill="1" applyBorder="1" applyAlignment="1">
      <alignment horizontal="center"/>
    </xf>
    <xf numFmtId="0" fontId="24" fillId="45" borderId="22" xfId="0" applyNumberFormat="1" applyFont="1" applyFill="1" applyBorder="1"/>
    <xf numFmtId="165" fontId="23" fillId="45" borderId="22" xfId="0" applyNumberFormat="1" applyFont="1" applyFill="1" applyBorder="1"/>
    <xf numFmtId="166" fontId="29" fillId="45" borderId="22" xfId="0" applyNumberFormat="1" applyFont="1" applyFill="1" applyBorder="1"/>
    <xf numFmtId="37" fontId="23" fillId="35" borderId="22" xfId="0" applyNumberFormat="1" applyFont="1" applyFill="1" applyBorder="1"/>
    <xf numFmtId="37" fontId="23" fillId="35" borderId="23" xfId="0" applyNumberFormat="1" applyFont="1" applyFill="1" applyBorder="1"/>
    <xf numFmtId="37" fontId="23" fillId="43" borderId="22" xfId="0" applyNumberFormat="1" applyFont="1" applyFill="1" applyBorder="1"/>
    <xf numFmtId="164" fontId="23" fillId="43" borderId="22" xfId="0" applyNumberFormat="1" applyFont="1" applyFill="1" applyBorder="1"/>
    <xf numFmtId="37" fontId="23" fillId="43" borderId="22" xfId="0" applyNumberFormat="1" applyFont="1" applyFill="1" applyBorder="1" applyAlignment="1">
      <alignment horizontal="center"/>
    </xf>
    <xf numFmtId="0" fontId="24" fillId="43" borderId="22" xfId="0" applyNumberFormat="1" applyFont="1" applyFill="1" applyBorder="1"/>
    <xf numFmtId="165" fontId="23" fillId="43" borderId="22" xfId="0" applyNumberFormat="1" applyFont="1" applyFill="1" applyBorder="1"/>
    <xf numFmtId="166" fontId="29" fillId="43" borderId="22" xfId="0" applyNumberFormat="1" applyFont="1" applyFill="1" applyBorder="1"/>
    <xf numFmtId="37" fontId="28" fillId="38" borderId="22" xfId="0" applyNumberFormat="1" applyFont="1" applyFill="1" applyBorder="1"/>
    <xf numFmtId="37" fontId="26" fillId="39" borderId="22" xfId="0" applyNumberFormat="1" applyFont="1" applyFill="1" applyBorder="1"/>
    <xf numFmtId="37" fontId="24" fillId="37" borderId="22" xfId="0" applyNumberFormat="1" applyFont="1" applyFill="1" applyBorder="1"/>
    <xf numFmtId="37" fontId="26" fillId="36" borderId="23" xfId="0" applyNumberFormat="1" applyFont="1" applyFill="1" applyBorder="1"/>
    <xf numFmtId="166" fontId="23" fillId="33" borderId="22" xfId="0" applyNumberFormat="1" applyFont="1" applyFill="1" applyBorder="1"/>
    <xf numFmtId="164" fontId="23" fillId="38" borderId="22" xfId="0" applyNumberFormat="1" applyFont="1" applyFill="1" applyBorder="1"/>
    <xf numFmtId="37" fontId="23" fillId="38" borderId="22" xfId="0" applyNumberFormat="1" applyFont="1" applyFill="1" applyBorder="1"/>
    <xf numFmtId="37" fontId="23" fillId="38" borderId="22" xfId="0" applyNumberFormat="1" applyFont="1" applyFill="1" applyBorder="1" applyAlignment="1">
      <alignment horizontal="center"/>
    </xf>
    <xf numFmtId="0" fontId="24" fillId="38" borderId="22" xfId="0" applyNumberFormat="1" applyFont="1" applyFill="1" applyBorder="1"/>
    <xf numFmtId="165" fontId="23" fillId="38" borderId="22" xfId="0" applyNumberFormat="1" applyFont="1" applyFill="1" applyBorder="1"/>
    <xf numFmtId="164" fontId="23" fillId="35" borderId="22" xfId="0" applyNumberFormat="1" applyFont="1" applyFill="1" applyBorder="1"/>
    <xf numFmtId="37" fontId="23" fillId="35" borderId="22" xfId="0" applyNumberFormat="1" applyFont="1" applyFill="1" applyBorder="1" applyAlignment="1">
      <alignment horizontal="center"/>
    </xf>
    <xf numFmtId="0" fontId="24" fillId="35" borderId="22" xfId="0" applyNumberFormat="1" applyFont="1" applyFill="1" applyBorder="1"/>
    <xf numFmtId="165" fontId="23" fillId="35" borderId="22" xfId="0" applyNumberFormat="1" applyFont="1" applyFill="1" applyBorder="1"/>
    <xf numFmtId="166" fontId="29" fillId="35" borderId="22" xfId="0" applyNumberFormat="1" applyFont="1" applyFill="1" applyBorder="1"/>
    <xf numFmtId="37" fontId="23" fillId="36" borderId="22" xfId="0" applyNumberFormat="1" applyFont="1" applyFill="1" applyBorder="1"/>
    <xf numFmtId="37" fontId="23" fillId="36" borderId="22" xfId="0" applyNumberFormat="1" applyFont="1" applyFill="1" applyBorder="1" applyAlignment="1">
      <alignment horizontal="center"/>
    </xf>
    <xf numFmtId="0" fontId="24" fillId="36" borderId="22" xfId="0" applyNumberFormat="1" applyFont="1" applyFill="1" applyBorder="1"/>
    <xf numFmtId="165" fontId="23" fillId="36" borderId="22" xfId="0" applyNumberFormat="1" applyFont="1" applyFill="1" applyBorder="1"/>
    <xf numFmtId="166" fontId="29" fillId="36" borderId="22" xfId="0" applyNumberFormat="1" applyFont="1" applyFill="1" applyBorder="1"/>
    <xf numFmtId="164" fontId="23" fillId="44" borderId="22" xfId="0" applyNumberFormat="1" applyFont="1" applyFill="1" applyBorder="1"/>
    <xf numFmtId="37" fontId="23" fillId="44" borderId="22" xfId="0" applyNumberFormat="1" applyFont="1" applyFill="1" applyBorder="1" applyAlignment="1">
      <alignment horizontal="center"/>
    </xf>
    <xf numFmtId="0" fontId="24" fillId="44" borderId="22" xfId="0" applyNumberFormat="1" applyFont="1" applyFill="1" applyBorder="1"/>
    <xf numFmtId="165" fontId="23" fillId="44" borderId="22" xfId="0" applyNumberFormat="1" applyFont="1" applyFill="1" applyBorder="1"/>
    <xf numFmtId="166" fontId="29" fillId="44" borderId="22" xfId="0" applyNumberFormat="1" applyFont="1" applyFill="1" applyBorder="1"/>
    <xf numFmtId="164" fontId="23" fillId="33" borderId="22" xfId="0" applyNumberFormat="1" applyFont="1" applyFill="1" applyBorder="1"/>
    <xf numFmtId="37" fontId="23" fillId="33" borderId="22" xfId="0" applyNumberFormat="1" applyFont="1" applyFill="1" applyBorder="1"/>
    <xf numFmtId="37" fontId="23" fillId="33" borderId="22" xfId="0" applyNumberFormat="1" applyFont="1" applyFill="1" applyBorder="1" applyAlignment="1">
      <alignment horizontal="center"/>
    </xf>
    <xf numFmtId="0" fontId="24" fillId="33" borderId="22" xfId="0" applyNumberFormat="1" applyFont="1" applyFill="1" applyBorder="1"/>
    <xf numFmtId="165" fontId="23" fillId="33" borderId="22" xfId="0" applyNumberFormat="1" applyFont="1" applyFill="1" applyBorder="1"/>
    <xf numFmtId="166" fontId="29" fillId="33" borderId="22" xfId="0" applyNumberFormat="1" applyFont="1" applyFill="1" applyBorder="1"/>
    <xf numFmtId="0" fontId="34" fillId="0" borderId="0" xfId="0" applyFont="1"/>
    <xf numFmtId="0" fontId="27" fillId="35" borderId="0" xfId="0" applyFont="1" applyFill="1"/>
    <xf numFmtId="0" fontId="0" fillId="0" borderId="0" xfId="0" quotePrefix="1"/>
    <xf numFmtId="0" fontId="34" fillId="0" borderId="0" xfId="0" quotePrefix="1" applyFont="1"/>
    <xf numFmtId="0" fontId="31" fillId="0" borderId="0" xfId="0" applyFont="1"/>
    <xf numFmtId="0" fontId="34" fillId="33" borderId="0" xfId="0" applyFont="1" applyFill="1"/>
    <xf numFmtId="0" fontId="24" fillId="0" borderId="0" xfId="0" applyFont="1" applyBorder="1" applyAlignment="1">
      <alignment horizontal="center"/>
    </xf>
    <xf numFmtId="0" fontId="24" fillId="29" borderId="0" xfId="0" applyFont="1" applyFill="1" applyBorder="1" applyAlignment="1">
      <alignment horizontal="center"/>
    </xf>
    <xf numFmtId="168" fontId="23" fillId="0" borderId="0" xfId="0" applyNumberFormat="1" applyFont="1"/>
    <xf numFmtId="0" fontId="37" fillId="0" borderId="0" xfId="0" applyFont="1" applyAlignment="1">
      <alignment horizontal="center"/>
    </xf>
    <xf numFmtId="0" fontId="36" fillId="0" borderId="0" xfId="0" applyFont="1"/>
    <xf numFmtId="0" fontId="23" fillId="0" borderId="0" xfId="0" applyFont="1" applyFill="1"/>
    <xf numFmtId="168" fontId="26" fillId="0" borderId="0" xfId="0" applyNumberFormat="1" applyFont="1"/>
    <xf numFmtId="0" fontId="24" fillId="0" borderId="0" xfId="0" applyFont="1" applyFill="1"/>
    <xf numFmtId="0" fontId="28" fillId="0" borderId="0" xfId="0" applyFont="1" applyFill="1"/>
    <xf numFmtId="0" fontId="26" fillId="0" borderId="0" xfId="0" applyFont="1" applyFill="1"/>
    <xf numFmtId="168" fontId="25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5" fillId="29" borderId="0" xfId="0" applyFont="1" applyFill="1" applyBorder="1" applyAlignment="1">
      <alignment horizontal="right"/>
    </xf>
    <xf numFmtId="167" fontId="27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9" fillId="29" borderId="0" xfId="0" applyFont="1" applyFill="1"/>
    <xf numFmtId="0" fontId="27" fillId="37" borderId="0" xfId="66" applyNumberFormat="1" applyFont="1" applyFill="1" applyBorder="1" applyAlignment="1">
      <alignment vertical="top" wrapText="1"/>
    </xf>
    <xf numFmtId="0" fontId="27" fillId="46" borderId="0" xfId="66" applyNumberFormat="1" applyFont="1" applyFill="1" applyBorder="1" applyAlignment="1">
      <alignment vertical="top" wrapText="1"/>
    </xf>
    <xf numFmtId="0" fontId="27" fillId="42" borderId="0" xfId="66" applyNumberFormat="1" applyFont="1" applyFill="1" applyBorder="1" applyAlignment="1">
      <alignment vertical="top" wrapText="1"/>
    </xf>
    <xf numFmtId="0" fontId="19" fillId="0" borderId="0" xfId="66" applyNumberFormat="1" applyFont="1" applyFill="1" applyBorder="1" applyAlignment="1"/>
    <xf numFmtId="0" fontId="19" fillId="46" borderId="0" xfId="66" applyNumberFormat="1" applyFont="1" applyFill="1" applyBorder="1" applyAlignment="1"/>
    <xf numFmtId="0" fontId="19" fillId="42" borderId="0" xfId="66" applyNumberFormat="1" applyFont="1" applyFill="1" applyBorder="1" applyAlignment="1"/>
    <xf numFmtId="0" fontId="35" fillId="42" borderId="0" xfId="66" applyNumberFormat="1" applyFont="1" applyFill="1" applyBorder="1" applyAlignment="1"/>
    <xf numFmtId="0" fontId="19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2" fillId="38" borderId="52" xfId="0" applyNumberFormat="1" applyFont="1" applyFill="1" applyBorder="1" applyAlignment="1">
      <alignment horizontal="center"/>
    </xf>
    <xf numFmtId="0" fontId="31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1" fillId="0" borderId="52" xfId="0" applyNumberFormat="1" applyFont="1" applyBorder="1" applyAlignment="1">
      <alignment horizontal="center"/>
    </xf>
    <xf numFmtId="168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8" fillId="0" borderId="0" xfId="0" applyNumberFormat="1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7" fillId="0" borderId="0" xfId="0" applyFont="1" applyFill="1" applyAlignment="1">
      <alignment horizontal="center"/>
    </xf>
    <xf numFmtId="169" fontId="32" fillId="38" borderId="52" xfId="0" applyNumberFormat="1" applyFont="1" applyFill="1" applyBorder="1" applyAlignment="1">
      <alignment horizontal="center"/>
    </xf>
    <xf numFmtId="175" fontId="68" fillId="51" borderId="53" xfId="0" applyNumberFormat="1" applyFont="1" applyFill="1" applyBorder="1" applyAlignment="1">
      <alignment horizontal="center"/>
    </xf>
    <xf numFmtId="0" fontId="69" fillId="51" borderId="27" xfId="0" applyFont="1" applyFill="1" applyBorder="1" applyAlignment="1">
      <alignment horizontal="center"/>
    </xf>
    <xf numFmtId="0" fontId="27" fillId="51" borderId="53" xfId="0" applyFont="1" applyFill="1" applyBorder="1" applyAlignment="1">
      <alignment horizontal="center"/>
    </xf>
    <xf numFmtId="0" fontId="34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7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3" fillId="0" borderId="41" xfId="0" applyNumberFormat="1" applyFont="1" applyBorder="1" applyAlignment="1">
      <alignment horizontal="center"/>
    </xf>
    <xf numFmtId="0" fontId="63" fillId="0" borderId="51" xfId="0" applyFont="1" applyBorder="1" applyAlignment="1">
      <alignment horizontal="center"/>
    </xf>
    <xf numFmtId="2" fontId="63" fillId="0" borderId="51" xfId="0" applyNumberFormat="1" applyFont="1" applyBorder="1" applyAlignment="1">
      <alignment horizontal="center"/>
    </xf>
    <xf numFmtId="0" fontId="63" fillId="0" borderId="47" xfId="0" applyFont="1" applyBorder="1" applyAlignment="1">
      <alignment horizontal="center"/>
    </xf>
    <xf numFmtId="2" fontId="25" fillId="34" borderId="22" xfId="0" applyNumberFormat="1" applyFont="1" applyFill="1" applyBorder="1" applyAlignment="1">
      <alignment horizontal="center"/>
    </xf>
    <xf numFmtId="0" fontId="3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2" fillId="52" borderId="0" xfId="0" applyNumberFormat="1" applyFont="1" applyFill="1" applyAlignment="1">
      <alignment horizontal="center"/>
    </xf>
    <xf numFmtId="0" fontId="20" fillId="0" borderId="17" xfId="88" applyFont="1" applyFill="1" applyBorder="1" applyAlignment="1">
      <alignment horizontal="left" vertical="center"/>
    </xf>
    <xf numFmtId="0" fontId="21" fillId="0" borderId="0" xfId="88" applyFont="1" applyFill="1" applyAlignment="1">
      <alignment horizontal="center" vertical="center"/>
    </xf>
    <xf numFmtId="0" fontId="21" fillId="0" borderId="0" xfId="0" applyFont="1"/>
    <xf numFmtId="0" fontId="77" fillId="0" borderId="0" xfId="88" applyFont="1" applyFill="1" applyAlignment="1">
      <alignment horizontal="center" vertical="center"/>
    </xf>
    <xf numFmtId="0" fontId="77" fillId="43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20" fillId="0" borderId="0" xfId="88" applyFont="1" applyFill="1" applyAlignment="1">
      <alignment horizontal="center" vertical="center"/>
    </xf>
    <xf numFmtId="0" fontId="76" fillId="0" borderId="17" xfId="88" applyFont="1" applyFill="1" applyBorder="1" applyAlignment="1">
      <alignment horizontal="left" vertical="center"/>
    </xf>
    <xf numFmtId="0" fontId="21" fillId="29" borderId="0" xfId="88" applyFont="1" applyFill="1" applyAlignment="1">
      <alignment horizontal="center" vertical="center"/>
    </xf>
    <xf numFmtId="0" fontId="78" fillId="0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78" fillId="48" borderId="0" xfId="88" applyFont="1" applyFill="1" applyAlignment="1">
      <alignment horizontal="center" vertical="center"/>
    </xf>
    <xf numFmtId="0" fontId="21" fillId="43" borderId="0" xfId="88" applyFont="1" applyFill="1" applyAlignment="1">
      <alignment horizontal="center" vertical="center"/>
    </xf>
    <xf numFmtId="0" fontId="21" fillId="0" borderId="0" xfId="88" applyFont="1"/>
    <xf numFmtId="1" fontId="21" fillId="0" borderId="0" xfId="88" applyNumberFormat="1" applyFont="1" applyFill="1" applyBorder="1" applyAlignment="1">
      <alignment horizontal="left" vertical="center"/>
    </xf>
    <xf numFmtId="0" fontId="20" fillId="0" borderId="0" xfId="88" applyFont="1" applyFill="1" applyBorder="1" applyAlignment="1">
      <alignment horizontal="left" vertical="center"/>
    </xf>
    <xf numFmtId="0" fontId="20" fillId="0" borderId="27" xfId="88" applyFont="1" applyFill="1" applyBorder="1" applyAlignment="1">
      <alignment horizontal="left" vertical="center"/>
    </xf>
    <xf numFmtId="0" fontId="20" fillId="0" borderId="0" xfId="88" applyFont="1" applyBorder="1" applyAlignment="1">
      <alignment horizontal="center" vertical="center"/>
    </xf>
    <xf numFmtId="172" fontId="21" fillId="0" borderId="0" xfId="88" applyNumberFormat="1" applyFont="1" applyFill="1" applyBorder="1" applyAlignment="1">
      <alignment horizontal="center" vertical="center"/>
    </xf>
    <xf numFmtId="168" fontId="25" fillId="34" borderId="22" xfId="88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170" fontId="23" fillId="37" borderId="23" xfId="0" applyNumberFormat="1" applyFont="1" applyFill="1" applyBorder="1" applyAlignment="1">
      <alignment horizontal="center"/>
    </xf>
    <xf numFmtId="0" fontId="41" fillId="0" borderId="0" xfId="340" applyFont="1" applyAlignment="1">
      <alignment horizontal="center"/>
    </xf>
    <xf numFmtId="0" fontId="21" fillId="0" borderId="0" xfId="88" applyFont="1" applyAlignment="1">
      <alignment horizontal="center"/>
    </xf>
    <xf numFmtId="0" fontId="21" fillId="0" borderId="0" xfId="0" applyFont="1" applyAlignment="1">
      <alignment horizontal="center"/>
    </xf>
    <xf numFmtId="10" fontId="24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/>
    </xf>
    <xf numFmtId="3" fontId="19" fillId="0" borderId="0" xfId="0" applyNumberFormat="1" applyFont="1" applyAlignment="1">
      <alignment horizontal="center"/>
    </xf>
    <xf numFmtId="167" fontId="24" fillId="0" borderId="0" xfId="0" applyNumberFormat="1" applyFont="1"/>
    <xf numFmtId="0" fontId="19" fillId="0" borderId="0" xfId="0" applyFont="1" applyAlignment="1">
      <alignment horizontal="left"/>
    </xf>
    <xf numFmtId="167" fontId="19" fillId="34" borderId="22" xfId="70" applyNumberFormat="1" applyFont="1" applyFill="1" applyBorder="1"/>
    <xf numFmtId="0" fontId="20" fillId="0" borderId="17" xfId="88" applyFont="1" applyBorder="1" applyAlignment="1">
      <alignment horizontal="center" vertical="top"/>
    </xf>
    <xf numFmtId="0" fontId="100" fillId="0" borderId="17" xfId="88" applyFont="1" applyFill="1" applyBorder="1" applyAlignment="1">
      <alignment vertical="center"/>
    </xf>
    <xf numFmtId="167" fontId="19" fillId="0" borderId="0" xfId="0" applyNumberFormat="1" applyFont="1"/>
    <xf numFmtId="0" fontId="16" fillId="0" borderId="0" xfId="343" applyFont="1" applyAlignment="1">
      <alignment horizontal="left"/>
    </xf>
    <xf numFmtId="0" fontId="27" fillId="0" borderId="0" xfId="88" quotePrefix="1" applyFont="1" applyFill="1" applyAlignment="1">
      <alignment horizontal="center" vertical="center"/>
    </xf>
    <xf numFmtId="175" fontId="101" fillId="0" borderId="0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02" fillId="0" borderId="0" xfId="0" applyNumberFormat="1" applyFont="1" applyAlignment="1">
      <alignment horizontal="center"/>
    </xf>
    <xf numFmtId="0" fontId="103" fillId="0" borderId="0" xfId="343" applyFont="1" applyAlignment="1">
      <alignment horizontal="left"/>
    </xf>
    <xf numFmtId="0" fontId="104" fillId="0" borderId="0" xfId="88" applyFont="1" applyFill="1" applyAlignment="1">
      <alignment horizontal="center" vertical="center"/>
    </xf>
    <xf numFmtId="0" fontId="104" fillId="0" borderId="0" xfId="0" applyFont="1"/>
    <xf numFmtId="0" fontId="38" fillId="0" borderId="0" xfId="0" applyFont="1" applyAlignment="1">
      <alignment horizontal="left"/>
    </xf>
    <xf numFmtId="0" fontId="32" fillId="29" borderId="0" xfId="0" applyFont="1" applyFill="1" applyAlignment="1">
      <alignment horizontal="left"/>
    </xf>
    <xf numFmtId="168" fontId="32" fillId="34" borderId="22" xfId="0" applyNumberFormat="1" applyFont="1" applyFill="1" applyBorder="1" applyAlignment="1">
      <alignment horizontal="left"/>
    </xf>
    <xf numFmtId="178" fontId="19" fillId="0" borderId="0" xfId="0" applyNumberFormat="1" applyFont="1" applyAlignment="1">
      <alignment horizontal="center"/>
    </xf>
    <xf numFmtId="0" fontId="21" fillId="0" borderId="40" xfId="0" applyFont="1" applyBorder="1"/>
    <xf numFmtId="0" fontId="32" fillId="0" borderId="0" xfId="0" applyFont="1" applyBorder="1" applyAlignment="1">
      <alignment horizontal="left"/>
    </xf>
    <xf numFmtId="0" fontId="106" fillId="0" borderId="17" xfId="0" applyFont="1" applyBorder="1" applyAlignment="1">
      <alignment horizontal="center"/>
    </xf>
    <xf numFmtId="2" fontId="27" fillId="52" borderId="17" xfId="0" applyNumberFormat="1" applyFont="1" applyFill="1" applyBorder="1" applyAlignment="1">
      <alignment horizontal="center"/>
    </xf>
    <xf numFmtId="2" fontId="27" fillId="0" borderId="17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8" fontId="32" fillId="63" borderId="22" xfId="0" applyNumberFormat="1" applyFont="1" applyFill="1" applyBorder="1" applyAlignment="1">
      <alignment horizontal="center"/>
    </xf>
    <xf numFmtId="168" fontId="32" fillId="34" borderId="22" xfId="0" applyNumberFormat="1" applyFont="1" applyFill="1" applyBorder="1" applyAlignment="1">
      <alignment horizontal="center"/>
    </xf>
    <xf numFmtId="2" fontId="32" fillId="34" borderId="22" xfId="0" applyNumberFormat="1" applyFont="1" applyFill="1" applyBorder="1" applyAlignment="1">
      <alignment horizontal="center"/>
    </xf>
    <xf numFmtId="0" fontId="19" fillId="0" borderId="15" xfId="0" applyFont="1" applyBorder="1" applyAlignment="1">
      <alignment horizontal="center"/>
    </xf>
    <xf numFmtId="175" fontId="27" fillId="0" borderId="0" xfId="0" applyNumberFormat="1" applyFont="1" applyBorder="1" applyAlignment="1">
      <alignment horizontal="center"/>
    </xf>
    <xf numFmtId="0" fontId="107" fillId="0" borderId="0" xfId="0" applyFont="1" applyAlignment="1">
      <alignment horizontal="center"/>
    </xf>
    <xf numFmtId="0" fontId="31" fillId="51" borderId="18" xfId="0" applyFont="1" applyFill="1" applyBorder="1" applyAlignment="1">
      <alignment horizontal="center"/>
    </xf>
    <xf numFmtId="0" fontId="108" fillId="0" borderId="0" xfId="0" applyFont="1" applyAlignment="1">
      <alignment horizontal="left"/>
    </xf>
    <xf numFmtId="4" fontId="19" fillId="0" borderId="0" xfId="0" applyNumberFormat="1" applyFont="1" applyAlignment="1">
      <alignment horizontal="center"/>
    </xf>
    <xf numFmtId="179" fontId="19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9" fillId="62" borderId="0" xfId="0" applyNumberFormat="1" applyFont="1" applyFill="1" applyAlignment="1">
      <alignment horizontal="center"/>
    </xf>
    <xf numFmtId="178" fontId="27" fillId="62" borderId="0" xfId="0" applyNumberFormat="1" applyFont="1" applyFill="1" applyAlignment="1">
      <alignment horizontal="center"/>
    </xf>
    <xf numFmtId="3" fontId="27" fillId="62" borderId="0" xfId="0" applyNumberFormat="1" applyFont="1" applyFill="1" applyAlignment="1">
      <alignment horizontal="center"/>
    </xf>
    <xf numFmtId="4" fontId="101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9" fillId="52" borderId="0" xfId="0" applyNumberFormat="1" applyFont="1" applyFill="1" applyAlignment="1">
      <alignment horizontal="center"/>
    </xf>
    <xf numFmtId="177" fontId="19" fillId="52" borderId="0" xfId="0" applyNumberFormat="1" applyFont="1" applyFill="1" applyAlignment="1">
      <alignment horizontal="center"/>
    </xf>
    <xf numFmtId="3" fontId="27" fillId="52" borderId="0" xfId="0" applyNumberFormat="1" applyFont="1" applyFill="1" applyAlignment="1">
      <alignment horizontal="center"/>
    </xf>
    <xf numFmtId="176" fontId="27" fillId="52" borderId="0" xfId="0" applyNumberFormat="1" applyFont="1" applyFill="1" applyAlignment="1">
      <alignment horizontal="center"/>
    </xf>
    <xf numFmtId="170" fontId="0" fillId="0" borderId="0" xfId="0" applyNumberFormat="1"/>
    <xf numFmtId="167" fontId="71" fillId="63" borderId="0" xfId="0" applyNumberFormat="1" applyFont="1" applyFill="1"/>
    <xf numFmtId="0" fontId="12" fillId="0" borderId="0" xfId="694"/>
    <xf numFmtId="0" fontId="12" fillId="0" borderId="0" xfId="697"/>
    <xf numFmtId="0" fontId="19" fillId="0" borderId="0" xfId="0" applyFont="1" applyAlignment="1">
      <alignment horizontal="center" vertical="center"/>
    </xf>
    <xf numFmtId="167" fontId="24" fillId="55" borderId="0" xfId="0" applyNumberFormat="1" applyFont="1" applyFill="1" applyAlignment="1">
      <alignment horizontal="center"/>
    </xf>
    <xf numFmtId="167" fontId="71" fillId="55" borderId="0" xfId="0" applyNumberFormat="1" applyFont="1" applyFill="1" applyAlignment="1">
      <alignment horizontal="center"/>
    </xf>
    <xf numFmtId="4" fontId="0" fillId="0" borderId="0" xfId="0" applyNumberFormat="1"/>
    <xf numFmtId="167" fontId="71" fillId="65" borderId="0" xfId="70" applyNumberFormat="1" applyFont="1" applyFill="1"/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7" fontId="24" fillId="65" borderId="0" xfId="70" applyNumberFormat="1" applyFont="1" applyFill="1"/>
    <xf numFmtId="167" fontId="24" fillId="66" borderId="0" xfId="0" applyNumberFormat="1" applyFont="1" applyFill="1"/>
    <xf numFmtId="0" fontId="27" fillId="0" borderId="47" xfId="0" applyFont="1" applyBorder="1" applyAlignment="1">
      <alignment horizontal="center"/>
    </xf>
    <xf numFmtId="175" fontId="27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6" fillId="51" borderId="0" xfId="353" applyFill="1" applyAlignment="1">
      <alignment horizontal="center"/>
    </xf>
    <xf numFmtId="168" fontId="0" fillId="0" borderId="0" xfId="0" applyNumberFormat="1"/>
    <xf numFmtId="167" fontId="24" fillId="53" borderId="0" xfId="0" applyNumberFormat="1" applyFont="1" applyFill="1" applyAlignment="1">
      <alignment horizontal="center"/>
    </xf>
    <xf numFmtId="0" fontId="112" fillId="0" borderId="0" xfId="0" applyFont="1" applyAlignment="1">
      <alignment horizontal="center"/>
    </xf>
    <xf numFmtId="0" fontId="38" fillId="0" borderId="0" xfId="88" applyFont="1" applyFill="1" applyAlignment="1">
      <alignment horizontal="center" vertical="center"/>
    </xf>
    <xf numFmtId="0" fontId="32" fillId="0" borderId="0" xfId="340" applyFont="1" applyFill="1" applyAlignment="1">
      <alignment horizontal="left"/>
    </xf>
    <xf numFmtId="0" fontId="113" fillId="0" borderId="0" xfId="340" applyFont="1" applyFill="1" applyAlignment="1">
      <alignment horizontal="left"/>
    </xf>
    <xf numFmtId="0" fontId="114" fillId="0" borderId="0" xfId="88" applyFont="1" applyFill="1" applyAlignment="1">
      <alignment horizontal="center" vertical="center"/>
    </xf>
    <xf numFmtId="167" fontId="71" fillId="53" borderId="0" xfId="0" applyNumberFormat="1" applyFont="1" applyFill="1" applyAlignment="1">
      <alignment horizontal="center"/>
    </xf>
    <xf numFmtId="167" fontId="20" fillId="52" borderId="0" xfId="0" applyNumberFormat="1" applyFont="1" applyFill="1" applyAlignment="1">
      <alignment horizontal="center"/>
    </xf>
    <xf numFmtId="167" fontId="115" fillId="68" borderId="0" xfId="0" applyNumberFormat="1" applyFont="1" applyFill="1" applyAlignment="1">
      <alignment horizontal="center"/>
    </xf>
    <xf numFmtId="0" fontId="9" fillId="0" borderId="0" xfId="910"/>
    <xf numFmtId="2" fontId="68" fillId="51" borderId="53" xfId="0" applyNumberFormat="1" applyFont="1" applyFill="1" applyBorder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left"/>
    </xf>
    <xf numFmtId="3" fontId="19" fillId="0" borderId="26" xfId="0" applyNumberFormat="1" applyFont="1" applyBorder="1" applyAlignment="1">
      <alignment horizontal="center"/>
    </xf>
    <xf numFmtId="178" fontId="119" fillId="51" borderId="49" xfId="0" applyNumberFormat="1" applyFont="1" applyFill="1" applyBorder="1" applyAlignment="1">
      <alignment horizontal="center"/>
    </xf>
    <xf numFmtId="176" fontId="19" fillId="51" borderId="35" xfId="0" applyNumberFormat="1" applyFont="1" applyFill="1" applyBorder="1" applyAlignment="1">
      <alignment horizontal="center"/>
    </xf>
    <xf numFmtId="3" fontId="19" fillId="51" borderId="36" xfId="0" applyNumberFormat="1" applyFont="1" applyFill="1" applyBorder="1" applyAlignment="1">
      <alignment horizontal="center"/>
    </xf>
    <xf numFmtId="0" fontId="119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9" fillId="51" borderId="49" xfId="0" applyNumberFormat="1" applyFont="1" applyFill="1" applyBorder="1" applyAlignment="1">
      <alignment horizontal="center"/>
    </xf>
    <xf numFmtId="176" fontId="19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9" fillId="51" borderId="50" xfId="0" applyNumberFormat="1" applyFont="1" applyFill="1" applyBorder="1" applyAlignment="1">
      <alignment horizontal="center"/>
    </xf>
    <xf numFmtId="176" fontId="19" fillId="51" borderId="38" xfId="0" applyNumberFormat="1" applyFont="1" applyFill="1" applyBorder="1" applyAlignment="1">
      <alignment horizontal="center"/>
    </xf>
    <xf numFmtId="3" fontId="19" fillId="51" borderId="21" xfId="0" applyNumberFormat="1" applyFont="1" applyFill="1" applyBorder="1" applyAlignment="1">
      <alignment horizontal="center"/>
    </xf>
    <xf numFmtId="3" fontId="63" fillId="0" borderId="26" xfId="0" applyNumberFormat="1" applyFont="1" applyBorder="1" applyAlignment="1">
      <alignment horizontal="center"/>
    </xf>
    <xf numFmtId="177" fontId="19" fillId="51" borderId="0" xfId="0" applyNumberFormat="1" applyFont="1" applyFill="1" applyBorder="1" applyAlignment="1">
      <alignment horizontal="center"/>
    </xf>
    <xf numFmtId="167" fontId="29" fillId="70" borderId="0" xfId="0" applyNumberFormat="1" applyFont="1" applyFill="1"/>
    <xf numFmtId="167" fontId="71" fillId="70" borderId="0" xfId="0" applyNumberFormat="1" applyFont="1" applyFill="1"/>
    <xf numFmtId="167" fontId="24" fillId="54" borderId="0" xfId="0" applyNumberFormat="1" applyFont="1" applyFill="1" applyAlignment="1">
      <alignment horizontal="center"/>
    </xf>
    <xf numFmtId="167" fontId="71" fillId="54" borderId="0" xfId="0" applyNumberFormat="1" applyFont="1" applyFill="1" applyAlignment="1">
      <alignment horizontal="center"/>
    </xf>
    <xf numFmtId="0" fontId="27" fillId="71" borderId="15" xfId="0" applyFont="1" applyFill="1" applyBorder="1" applyAlignment="1">
      <alignment horizontal="center"/>
    </xf>
    <xf numFmtId="177" fontId="68" fillId="0" borderId="0" xfId="0" applyNumberFormat="1" applyFont="1" applyAlignment="1">
      <alignment horizontal="center"/>
    </xf>
    <xf numFmtId="177" fontId="27" fillId="52" borderId="0" xfId="0" applyNumberFormat="1" applyFont="1" applyFill="1" applyAlignment="1">
      <alignment horizontal="center"/>
    </xf>
    <xf numFmtId="178" fontId="68" fillId="51" borderId="0" xfId="0" applyNumberFormat="1" applyFont="1" applyFill="1" applyBorder="1" applyAlignment="1">
      <alignment horizontal="center"/>
    </xf>
    <xf numFmtId="3" fontId="63" fillId="0" borderId="47" xfId="0" applyNumberFormat="1" applyFont="1" applyBorder="1" applyAlignment="1">
      <alignment horizontal="center"/>
    </xf>
    <xf numFmtId="3" fontId="20" fillId="0" borderId="51" xfId="0" applyNumberFormat="1" applyFont="1" applyBorder="1" applyAlignment="1">
      <alignment horizontal="center"/>
    </xf>
    <xf numFmtId="3" fontId="63" fillId="0" borderId="41" xfId="0" applyNumberFormat="1" applyFont="1" applyBorder="1" applyAlignment="1">
      <alignment horizontal="center"/>
    </xf>
    <xf numFmtId="178" fontId="68" fillId="51" borderId="36" xfId="0" applyNumberFormat="1" applyFont="1" applyFill="1" applyBorder="1" applyAlignment="1">
      <alignment horizontal="center"/>
    </xf>
    <xf numFmtId="178" fontId="68" fillId="51" borderId="21" xfId="0" applyNumberFormat="1" applyFont="1" applyFill="1" applyBorder="1" applyAlignment="1">
      <alignment horizontal="center"/>
    </xf>
    <xf numFmtId="177" fontId="27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7" fillId="51" borderId="49" xfId="0" applyNumberFormat="1" applyFont="1" applyFill="1" applyBorder="1" applyAlignment="1">
      <alignment horizontal="center"/>
    </xf>
    <xf numFmtId="177" fontId="27" fillId="51" borderId="50" xfId="0" applyNumberFormat="1" applyFont="1" applyFill="1" applyBorder="1" applyAlignment="1">
      <alignment horizontal="center"/>
    </xf>
    <xf numFmtId="176" fontId="27" fillId="0" borderId="0" xfId="0" applyNumberFormat="1" applyFont="1" applyAlignment="1">
      <alignment horizontal="center"/>
    </xf>
    <xf numFmtId="0" fontId="126" fillId="0" borderId="0" xfId="0" applyFont="1"/>
    <xf numFmtId="0" fontId="126" fillId="0" borderId="0" xfId="88" applyFont="1" applyFill="1" applyAlignment="1">
      <alignment horizontal="center" vertical="center"/>
    </xf>
    <xf numFmtId="0" fontId="9" fillId="0" borderId="0" xfId="910" applyAlignment="1">
      <alignment horizontal="center"/>
    </xf>
    <xf numFmtId="0" fontId="121" fillId="0" borderId="0" xfId="1349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167" fontId="24" fillId="72" borderId="0" xfId="0" applyNumberFormat="1" applyFont="1" applyFill="1" applyAlignment="1">
      <alignment horizontal="center"/>
    </xf>
    <xf numFmtId="176" fontId="27" fillId="51" borderId="0" xfId="0" applyNumberFormat="1" applyFont="1" applyFill="1" applyAlignment="1">
      <alignment horizontal="center"/>
    </xf>
    <xf numFmtId="175" fontId="27" fillId="51" borderId="0" xfId="0" applyNumberFormat="1" applyFont="1" applyFill="1" applyBorder="1" applyAlignment="1">
      <alignment horizontal="center"/>
    </xf>
    <xf numFmtId="177" fontId="27" fillId="51" borderId="0" xfId="0" applyNumberFormat="1" applyFont="1" applyFill="1" applyAlignment="1">
      <alignment horizontal="center"/>
    </xf>
    <xf numFmtId="10" fontId="32" fillId="0" borderId="0" xfId="70" applyNumberFormat="1" applyFont="1" applyBorder="1" applyAlignment="1">
      <alignment horizontal="center"/>
    </xf>
    <xf numFmtId="0" fontId="27" fillId="5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31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34" fillId="51" borderId="0" xfId="70" applyNumberFormat="1" applyFont="1" applyFill="1" applyBorder="1" applyAlignment="1">
      <alignment horizontal="center" vertical="center"/>
    </xf>
    <xf numFmtId="167" fontId="29" fillId="53" borderId="0" xfId="0" applyNumberFormat="1" applyFont="1" applyFill="1"/>
    <xf numFmtId="167" fontId="24" fillId="52" borderId="0" xfId="0" applyNumberFormat="1" applyFont="1" applyFill="1" applyAlignment="1">
      <alignment horizontal="center"/>
    </xf>
    <xf numFmtId="0" fontId="24" fillId="29" borderId="21" xfId="0" applyFont="1" applyFill="1" applyBorder="1" applyAlignment="1">
      <alignment horizontal="center"/>
    </xf>
    <xf numFmtId="2" fontId="25" fillId="34" borderId="22" xfId="70" applyNumberFormat="1" applyFont="1" applyFill="1" applyBorder="1" applyAlignment="1">
      <alignment horizontal="right"/>
    </xf>
    <xf numFmtId="1" fontId="23" fillId="0" borderId="0" xfId="0" applyNumberFormat="1" applyFont="1"/>
    <xf numFmtId="167" fontId="24" fillId="106" borderId="0" xfId="0" applyNumberFormat="1" applyFont="1" applyFill="1"/>
    <xf numFmtId="167" fontId="24" fillId="52" borderId="0" xfId="0" applyNumberFormat="1" applyFont="1" applyFill="1"/>
    <xf numFmtId="169" fontId="0" fillId="0" borderId="0" xfId="0" applyNumberFormat="1"/>
    <xf numFmtId="2" fontId="25" fillId="51" borderId="22" xfId="70" applyNumberFormat="1" applyFont="1" applyFill="1" applyBorder="1" applyAlignment="1">
      <alignment horizontal="right"/>
    </xf>
    <xf numFmtId="168" fontId="31" fillId="54" borderId="0" xfId="88" applyNumberFormat="1" applyFont="1" applyFill="1" applyBorder="1" applyAlignment="1">
      <alignment horizontal="center"/>
    </xf>
    <xf numFmtId="0" fontId="34" fillId="54" borderId="0" xfId="0" applyFont="1" applyFill="1" applyBorder="1"/>
    <xf numFmtId="168" fontId="31" fillId="54" borderId="0" xfId="70" applyNumberFormat="1" applyFont="1" applyFill="1" applyBorder="1" applyAlignment="1">
      <alignment horizontal="center"/>
    </xf>
    <xf numFmtId="2" fontId="31" fillId="54" borderId="0" xfId="70" applyNumberFormat="1" applyFont="1" applyFill="1" applyBorder="1" applyAlignment="1">
      <alignment horizontal="right"/>
    </xf>
    <xf numFmtId="170" fontId="19" fillId="37" borderId="23" xfId="0" applyNumberFormat="1" applyFont="1" applyFill="1" applyBorder="1" applyAlignment="1">
      <alignment horizontal="center"/>
    </xf>
    <xf numFmtId="167" fontId="71" fillId="70" borderId="48" xfId="0" applyNumberFormat="1" applyFont="1" applyFill="1" applyBorder="1" applyAlignment="1">
      <alignment horizontal="center"/>
    </xf>
    <xf numFmtId="167" fontId="71" fillId="70" borderId="26" xfId="0" applyNumberFormat="1" applyFont="1" applyFill="1" applyBorder="1" applyAlignment="1">
      <alignment horizontal="center"/>
    </xf>
    <xf numFmtId="170" fontId="23" fillId="0" borderId="0" xfId="0" applyNumberFormat="1" applyFont="1"/>
    <xf numFmtId="0" fontId="100" fillId="0" borderId="16" xfId="88" applyFont="1" applyFill="1" applyBorder="1" applyAlignment="1">
      <alignment vertical="center"/>
    </xf>
    <xf numFmtId="0" fontId="20" fillId="29" borderId="36" xfId="0" applyFont="1" applyFill="1" applyBorder="1" applyAlignment="1">
      <alignment horizontal="left"/>
    </xf>
    <xf numFmtId="167" fontId="20" fillId="29" borderId="15" xfId="0" applyNumberFormat="1" applyFont="1" applyFill="1" applyBorder="1" applyAlignment="1">
      <alignment horizontal="center"/>
    </xf>
    <xf numFmtId="0" fontId="20" fillId="29" borderId="0" xfId="0" applyFont="1" applyFill="1" applyBorder="1" applyAlignment="1">
      <alignment horizontal="left"/>
    </xf>
    <xf numFmtId="167" fontId="20" fillId="0" borderId="38" xfId="0" applyNumberFormat="1" applyFont="1" applyBorder="1" applyAlignment="1">
      <alignment horizontal="center"/>
    </xf>
    <xf numFmtId="0" fontId="20" fillId="0" borderId="21" xfId="0" applyFont="1" applyBorder="1" applyAlignment="1">
      <alignment horizontal="left"/>
    </xf>
    <xf numFmtId="169" fontId="19" fillId="0" borderId="0" xfId="0" applyNumberFormat="1" applyFont="1"/>
    <xf numFmtId="0" fontId="122" fillId="0" borderId="0" xfId="1758" applyFont="1" applyFill="1" applyAlignment="1">
      <alignment horizontal="left"/>
    </xf>
    <xf numFmtId="0" fontId="122" fillId="0" borderId="0" xfId="1759" applyFont="1" applyFill="1" applyAlignment="1">
      <alignment horizontal="left"/>
    </xf>
    <xf numFmtId="0" fontId="122" fillId="0" borderId="0" xfId="1759" applyFont="1" applyAlignment="1">
      <alignment horizontal="left"/>
    </xf>
    <xf numFmtId="22" fontId="122" fillId="0" borderId="0" xfId="1759" applyNumberFormat="1" applyFont="1" applyAlignment="1">
      <alignment horizontal="left"/>
    </xf>
    <xf numFmtId="167" fontId="24" fillId="65" borderId="0" xfId="0" applyNumberFormat="1" applyFont="1" applyFill="1" applyAlignment="1">
      <alignment horizontal="center"/>
    </xf>
    <xf numFmtId="182" fontId="34" fillId="51" borderId="36" xfId="70" applyNumberFormat="1" applyFont="1" applyFill="1" applyBorder="1" applyAlignment="1">
      <alignment horizontal="center" vertical="center"/>
    </xf>
    <xf numFmtId="182" fontId="34" fillId="51" borderId="37" xfId="70" applyNumberFormat="1" applyFont="1" applyFill="1" applyBorder="1" applyAlignment="1">
      <alignment horizontal="center" vertical="center"/>
    </xf>
    <xf numFmtId="182" fontId="34" fillId="51" borderId="52" xfId="70" applyNumberFormat="1" applyFont="1" applyFill="1" applyBorder="1" applyAlignment="1">
      <alignment horizontal="center" vertical="center"/>
    </xf>
    <xf numFmtId="182" fontId="34" fillId="51" borderId="21" xfId="70" applyNumberFormat="1" applyFont="1" applyFill="1" applyBorder="1" applyAlignment="1">
      <alignment horizontal="center" vertical="center"/>
    </xf>
    <xf numFmtId="182" fontId="34" fillId="51" borderId="39" xfId="70" applyNumberFormat="1" applyFont="1" applyFill="1" applyBorder="1" applyAlignment="1">
      <alignment horizontal="center" vertical="center"/>
    </xf>
    <xf numFmtId="0" fontId="27" fillId="66" borderId="47" xfId="0" applyFont="1" applyFill="1" applyBorder="1" applyAlignment="1">
      <alignment horizontal="center"/>
    </xf>
    <xf numFmtId="0" fontId="27" fillId="62" borderId="51" xfId="0" applyFont="1" applyFill="1" applyBorder="1" applyAlignment="1">
      <alignment horizontal="center"/>
    </xf>
    <xf numFmtId="0" fontId="27" fillId="52" borderId="51" xfId="0" applyFont="1" applyFill="1" applyBorder="1" applyAlignment="1">
      <alignment horizontal="center"/>
    </xf>
    <xf numFmtId="0" fontId="27" fillId="65" borderId="41" xfId="0" applyFont="1" applyFill="1" applyBorder="1" applyAlignment="1">
      <alignment horizontal="center"/>
    </xf>
    <xf numFmtId="0" fontId="36" fillId="51" borderId="48" xfId="0" applyFont="1" applyFill="1" applyBorder="1" applyAlignment="1">
      <alignment horizontal="center"/>
    </xf>
    <xf numFmtId="0" fontId="36" fillId="51" borderId="49" xfId="0" applyFont="1" applyFill="1" applyBorder="1" applyAlignment="1">
      <alignment horizontal="center"/>
    </xf>
    <xf numFmtId="0" fontId="36" fillId="51" borderId="50" xfId="0" applyFont="1" applyFill="1" applyBorder="1" applyAlignment="1">
      <alignment horizontal="center"/>
    </xf>
    <xf numFmtId="0" fontId="126" fillId="107" borderId="17" xfId="1779" applyFont="1" applyFill="1" applyBorder="1">
      <protection locked="0"/>
    </xf>
    <xf numFmtId="0" fontId="126" fillId="0" borderId="70" xfId="1780" applyFont="1" applyBorder="1" applyProtection="1"/>
    <xf numFmtId="193" fontId="126" fillId="0" borderId="70" xfId="1780" applyNumberFormat="1" applyFont="1" applyBorder="1" applyProtection="1"/>
    <xf numFmtId="0" fontId="126" fillId="0" borderId="70" xfId="1780" applyFont="1" applyBorder="1"/>
    <xf numFmtId="0" fontId="126" fillId="0" borderId="0" xfId="1780" applyFont="1"/>
    <xf numFmtId="0" fontId="126" fillId="0" borderId="20" xfId="1780" applyFont="1" applyBorder="1" applyProtection="1"/>
    <xf numFmtId="0" fontId="126" fillId="0" borderId="19" xfId="1780" applyFont="1" applyBorder="1" applyProtection="1"/>
    <xf numFmtId="0" fontId="126" fillId="0" borderId="0" xfId="1780" applyFont="1" applyBorder="1" applyProtection="1"/>
    <xf numFmtId="193" fontId="126" fillId="0" borderId="0" xfId="1780" applyNumberFormat="1" applyFont="1" applyBorder="1" applyProtection="1"/>
    <xf numFmtId="0" fontId="126" fillId="0" borderId="0" xfId="1780" applyFont="1" applyBorder="1" applyAlignment="1" applyProtection="1">
      <alignment horizontal="center"/>
    </xf>
    <xf numFmtId="0" fontId="126" fillId="0" borderId="0" xfId="1780" applyFont="1" applyBorder="1"/>
    <xf numFmtId="0" fontId="147" fillId="0" borderId="0" xfId="1781" applyFont="1"/>
    <xf numFmtId="0" fontId="126" fillId="0" borderId="59" xfId="1780" applyFont="1" applyBorder="1" applyProtection="1"/>
    <xf numFmtId="167" fontId="148" fillId="108" borderId="17" xfId="1780" applyNumberFormat="1" applyFont="1" applyFill="1" applyBorder="1" applyAlignment="1" applyProtection="1">
      <alignment horizontal="center"/>
    </xf>
    <xf numFmtId="0" fontId="126" fillId="0" borderId="17" xfId="1780" applyFont="1" applyBorder="1" applyAlignment="1" applyProtection="1">
      <alignment horizontal="center"/>
    </xf>
    <xf numFmtId="0" fontId="63" fillId="55" borderId="17" xfId="1780" applyFont="1" applyFill="1" applyBorder="1" applyAlignment="1" applyProtection="1">
      <alignment horizontal="center"/>
    </xf>
    <xf numFmtId="0" fontId="63" fillId="109" borderId="55" xfId="1780" applyFont="1" applyFill="1" applyBorder="1" applyAlignment="1" applyProtection="1">
      <alignment horizontal="center"/>
    </xf>
    <xf numFmtId="0" fontId="63" fillId="109" borderId="71" xfId="1780" applyFont="1" applyFill="1" applyBorder="1" applyAlignment="1" applyProtection="1">
      <alignment horizontal="center"/>
    </xf>
    <xf numFmtId="0" fontId="126" fillId="0" borderId="24" xfId="1780" applyFont="1" applyBorder="1"/>
    <xf numFmtId="0" fontId="126" fillId="0" borderId="16" xfId="1780" applyFont="1" applyBorder="1"/>
    <xf numFmtId="0" fontId="126" fillId="0" borderId="17" xfId="1780" applyFont="1" applyBorder="1"/>
    <xf numFmtId="173" fontId="126" fillId="0" borderId="0" xfId="1780" applyNumberFormat="1" applyFont="1"/>
    <xf numFmtId="0" fontId="63" fillId="109" borderId="24" xfId="1780" applyFont="1" applyFill="1" applyBorder="1" applyAlignment="1" applyProtection="1">
      <alignment horizontal="center"/>
    </xf>
    <xf numFmtId="0" fontId="63" fillId="109" borderId="16" xfId="1780" applyFont="1" applyFill="1" applyBorder="1" applyAlignment="1" applyProtection="1">
      <alignment horizontal="center"/>
    </xf>
    <xf numFmtId="0" fontId="126" fillId="109" borderId="72" xfId="1780" applyFont="1" applyFill="1" applyBorder="1" applyProtection="1"/>
    <xf numFmtId="0" fontId="126" fillId="109" borderId="71" xfId="1780" applyFont="1" applyFill="1" applyBorder="1" applyProtection="1"/>
    <xf numFmtId="0" fontId="63" fillId="52" borderId="16" xfId="1780" applyFont="1" applyFill="1" applyBorder="1" applyAlignment="1">
      <alignment horizontal="center"/>
    </xf>
    <xf numFmtId="0" fontId="126" fillId="110" borderId="73" xfId="1780" applyFont="1" applyFill="1" applyBorder="1" applyProtection="1"/>
    <xf numFmtId="1" fontId="126" fillId="111" borderId="18" xfId="1780" applyNumberFormat="1" applyFont="1" applyFill="1" applyBorder="1" applyAlignment="1" applyProtection="1">
      <alignment horizontal="center"/>
    </xf>
    <xf numFmtId="0" fontId="126" fillId="0" borderId="70" xfId="1780" applyFont="1" applyBorder="1" applyAlignment="1" applyProtection="1">
      <alignment horizontal="center"/>
    </xf>
    <xf numFmtId="170" fontId="126" fillId="70" borderId="18" xfId="1780" applyNumberFormat="1" applyFont="1" applyFill="1" applyBorder="1" applyAlignment="1" applyProtection="1">
      <alignment horizontal="center"/>
    </xf>
    <xf numFmtId="170" fontId="126" fillId="0" borderId="70" xfId="1780" applyNumberFormat="1" applyFont="1" applyFill="1" applyBorder="1" applyAlignment="1" applyProtection="1">
      <alignment horizontal="center"/>
    </xf>
    <xf numFmtId="170" fontId="126" fillId="109" borderId="18" xfId="1780" applyNumberFormat="1" applyFont="1" applyFill="1" applyBorder="1" applyAlignment="1" applyProtection="1">
      <alignment horizontal="center"/>
    </xf>
    <xf numFmtId="170" fontId="126" fillId="0" borderId="71" xfId="1780" applyNumberFormat="1" applyFont="1" applyFill="1" applyBorder="1" applyAlignment="1" applyProtection="1">
      <alignment horizontal="center"/>
    </xf>
    <xf numFmtId="0" fontId="126" fillId="0" borderId="72" xfId="1780" applyFont="1" applyBorder="1" applyAlignment="1" applyProtection="1">
      <alignment horizontal="center"/>
    </xf>
    <xf numFmtId="0" fontId="126" fillId="0" borderId="71" xfId="1780" applyFont="1" applyBorder="1" applyAlignment="1" applyProtection="1">
      <alignment horizontal="center"/>
    </xf>
    <xf numFmtId="0" fontId="148" fillId="108" borderId="27" xfId="1780" applyNumberFormat="1" applyFont="1" applyFill="1" applyBorder="1" applyAlignment="1" applyProtection="1">
      <alignment horizontal="center"/>
    </xf>
    <xf numFmtId="0" fontId="126" fillId="109" borderId="72" xfId="1780" applyFont="1" applyFill="1" applyBorder="1" applyAlignment="1" applyProtection="1">
      <alignment horizontal="center"/>
    </xf>
    <xf numFmtId="170" fontId="126" fillId="0" borderId="72" xfId="1780" applyNumberFormat="1" applyFont="1" applyBorder="1" applyAlignment="1" applyProtection="1">
      <alignment horizontal="center"/>
    </xf>
    <xf numFmtId="170" fontId="126" fillId="0" borderId="71" xfId="1780" applyNumberFormat="1" applyFont="1" applyBorder="1" applyAlignment="1" applyProtection="1">
      <alignment horizontal="center"/>
    </xf>
    <xf numFmtId="0" fontId="126" fillId="0" borderId="18" xfId="1780" applyFont="1" applyBorder="1"/>
    <xf numFmtId="0" fontId="126" fillId="110" borderId="72" xfId="1780" applyFont="1" applyFill="1" applyBorder="1" applyProtection="1"/>
    <xf numFmtId="0" fontId="126" fillId="109" borderId="59" xfId="1780" applyFont="1" applyFill="1" applyBorder="1" applyProtection="1"/>
    <xf numFmtId="0" fontId="126" fillId="109" borderId="74" xfId="1780" applyFont="1" applyFill="1" applyBorder="1" applyProtection="1"/>
    <xf numFmtId="1" fontId="126" fillId="111" borderId="73" xfId="1780" applyNumberFormat="1" applyFont="1" applyFill="1" applyBorder="1" applyAlignment="1" applyProtection="1">
      <alignment horizontal="center"/>
    </xf>
    <xf numFmtId="170" fontId="126" fillId="70" borderId="73" xfId="1780" applyNumberFormat="1" applyFont="1" applyFill="1" applyBorder="1" applyAlignment="1" applyProtection="1">
      <alignment horizontal="center"/>
    </xf>
    <xf numFmtId="170" fontId="126" fillId="0" borderId="0" xfId="1780" applyNumberFormat="1" applyFont="1" applyFill="1" applyBorder="1" applyAlignment="1" applyProtection="1">
      <alignment horizontal="center"/>
    </xf>
    <xf numFmtId="170" fontId="126" fillId="109" borderId="73" xfId="1780" applyNumberFormat="1" applyFont="1" applyFill="1" applyBorder="1" applyAlignment="1" applyProtection="1">
      <alignment horizontal="center"/>
    </xf>
    <xf numFmtId="170" fontId="126" fillId="0" borderId="74" xfId="1780" applyNumberFormat="1" applyFont="1" applyFill="1" applyBorder="1" applyAlignment="1" applyProtection="1">
      <alignment horizontal="center"/>
    </xf>
    <xf numFmtId="0" fontId="126" fillId="0" borderId="59" xfId="1780" applyFont="1" applyBorder="1" applyAlignment="1" applyProtection="1">
      <alignment horizontal="center"/>
    </xf>
    <xf numFmtId="0" fontId="126" fillId="0" borderId="74" xfId="1780" applyFont="1" applyBorder="1" applyAlignment="1" applyProtection="1">
      <alignment horizontal="center"/>
    </xf>
    <xf numFmtId="193" fontId="126" fillId="112" borderId="72" xfId="1780" applyNumberFormat="1" applyFont="1" applyFill="1" applyBorder="1" applyAlignment="1" applyProtection="1">
      <alignment horizontal="center"/>
    </xf>
    <xf numFmtId="195" fontId="126" fillId="112" borderId="18" xfId="1780" applyNumberFormat="1" applyFont="1" applyFill="1" applyBorder="1" applyAlignment="1" applyProtection="1">
      <alignment horizontal="center"/>
    </xf>
    <xf numFmtId="193" fontId="126" fillId="112" borderId="59" xfId="1780" applyNumberFormat="1" applyFont="1" applyFill="1" applyBorder="1" applyAlignment="1" applyProtection="1">
      <alignment horizontal="center"/>
    </xf>
    <xf numFmtId="195" fontId="126" fillId="112" borderId="73" xfId="1780" applyNumberFormat="1" applyFont="1" applyFill="1" applyBorder="1" applyAlignment="1" applyProtection="1">
      <alignment horizontal="center"/>
    </xf>
    <xf numFmtId="195" fontId="126" fillId="112" borderId="27" xfId="1780" applyNumberFormat="1" applyFont="1" applyFill="1" applyBorder="1" applyAlignment="1" applyProtection="1">
      <alignment horizontal="center"/>
    </xf>
    <xf numFmtId="0" fontId="126" fillId="109" borderId="59" xfId="1780" applyFont="1" applyFill="1" applyBorder="1" applyAlignment="1" applyProtection="1">
      <alignment horizontal="center"/>
    </xf>
    <xf numFmtId="170" fontId="126" fillId="0" borderId="59" xfId="1780" applyNumberFormat="1" applyFont="1" applyBorder="1" applyAlignment="1" applyProtection="1">
      <alignment horizontal="center"/>
    </xf>
    <xf numFmtId="170" fontId="126" fillId="0" borderId="74" xfId="1780" applyNumberFormat="1" applyFont="1" applyBorder="1" applyAlignment="1" applyProtection="1">
      <alignment horizontal="center"/>
    </xf>
    <xf numFmtId="0" fontId="126" fillId="0" borderId="73" xfId="1780" applyFont="1" applyBorder="1"/>
    <xf numFmtId="14" fontId="126" fillId="112" borderId="18" xfId="1780" applyNumberFormat="1" applyFont="1" applyFill="1" applyBorder="1" applyProtection="1"/>
    <xf numFmtId="0" fontId="126" fillId="35" borderId="18" xfId="1782" applyFont="1" applyFill="1" applyBorder="1" applyAlignment="1">
      <alignment horizontal="center"/>
    </xf>
    <xf numFmtId="0" fontId="126" fillId="110" borderId="59" xfId="1780" applyFont="1" applyFill="1" applyBorder="1" applyProtection="1"/>
    <xf numFmtId="193" fontId="126" fillId="112" borderId="18" xfId="1780" applyNumberFormat="1" applyFont="1" applyFill="1" applyBorder="1" applyAlignment="1" applyProtection="1">
      <alignment horizontal="center"/>
    </xf>
    <xf numFmtId="193" fontId="126" fillId="112" borderId="73" xfId="1780" applyNumberFormat="1" applyFont="1" applyFill="1" applyBorder="1" applyAlignment="1" applyProtection="1">
      <alignment horizontal="center"/>
    </xf>
    <xf numFmtId="193" fontId="126" fillId="112" borderId="27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Protection="1"/>
    <xf numFmtId="0" fontId="126" fillId="109" borderId="53" xfId="1780" applyFont="1" applyFill="1" applyBorder="1" applyProtection="1"/>
    <xf numFmtId="14" fontId="126" fillId="112" borderId="73" xfId="1780" applyNumberFormat="1" applyFont="1" applyFill="1" applyBorder="1" applyProtection="1"/>
    <xf numFmtId="0" fontId="126" fillId="35" borderId="73" xfId="1782" applyFont="1" applyFill="1" applyBorder="1" applyAlignment="1">
      <alignment horizontal="center"/>
    </xf>
    <xf numFmtId="1" fontId="126" fillId="111" borderId="59" xfId="1780" applyNumberFormat="1" applyFont="1" applyFill="1" applyBorder="1" applyAlignment="1" applyProtection="1">
      <alignment horizontal="center"/>
    </xf>
    <xf numFmtId="0" fontId="126" fillId="109" borderId="69" xfId="1780" applyFont="1" applyFill="1" applyBorder="1" applyAlignment="1" applyProtection="1">
      <alignment horizontal="center"/>
    </xf>
    <xf numFmtId="170" fontId="126" fillId="0" borderId="69" xfId="1780" applyNumberFormat="1" applyFont="1" applyBorder="1" applyAlignment="1" applyProtection="1">
      <alignment horizontal="center"/>
    </xf>
    <xf numFmtId="170" fontId="126" fillId="0" borderId="53" xfId="1780" applyNumberFormat="1" applyFont="1" applyBorder="1" applyAlignment="1" applyProtection="1">
      <alignment horizontal="center"/>
    </xf>
    <xf numFmtId="0" fontId="126" fillId="110" borderId="18" xfId="1780" applyFont="1" applyFill="1" applyBorder="1" applyProtection="1"/>
    <xf numFmtId="196" fontId="126" fillId="111" borderId="18" xfId="1780" applyNumberFormat="1" applyFont="1" applyFill="1" applyBorder="1" applyAlignment="1" applyProtection="1">
      <alignment horizontal="center"/>
    </xf>
    <xf numFmtId="196" fontId="126" fillId="111" borderId="73" xfId="1780" applyNumberFormat="1" applyFont="1" applyFill="1" applyBorder="1" applyAlignment="1" applyProtection="1">
      <alignment horizontal="center"/>
    </xf>
    <xf numFmtId="0" fontId="126" fillId="0" borderId="27" xfId="1780" applyFont="1" applyBorder="1"/>
    <xf numFmtId="0" fontId="126" fillId="112" borderId="27" xfId="1780" applyFont="1" applyFill="1" applyBorder="1" applyProtection="1"/>
    <xf numFmtId="0" fontId="126" fillId="113" borderId="27" xfId="1780" applyFont="1" applyFill="1" applyBorder="1" applyAlignment="1" applyProtection="1">
      <alignment horizontal="center"/>
    </xf>
    <xf numFmtId="196" fontId="126" fillId="109" borderId="59" xfId="1780" applyNumberFormat="1" applyFont="1" applyFill="1" applyBorder="1" applyAlignment="1" applyProtection="1">
      <alignment horizontal="center"/>
    </xf>
    <xf numFmtId="0" fontId="63" fillId="55" borderId="24" xfId="1780" applyFont="1" applyFill="1" applyBorder="1" applyAlignment="1" applyProtection="1">
      <alignment horizontal="center"/>
    </xf>
    <xf numFmtId="0" fontId="126" fillId="110" borderId="27" xfId="1780" applyFont="1" applyFill="1" applyBorder="1" applyProtection="1"/>
    <xf numFmtId="196" fontId="126" fillId="111" borderId="27" xfId="1780" applyNumberFormat="1" applyFont="1" applyFill="1" applyBorder="1" applyAlignment="1" applyProtection="1">
      <alignment horizontal="center"/>
    </xf>
    <xf numFmtId="0" fontId="126" fillId="0" borderId="75" xfId="1780" applyFont="1" applyBorder="1" applyAlignment="1" applyProtection="1">
      <alignment horizontal="center"/>
    </xf>
    <xf numFmtId="170" fontId="126" fillId="70" borderId="27" xfId="1780" applyNumberFormat="1" applyFont="1" applyFill="1" applyBorder="1" applyAlignment="1" applyProtection="1">
      <alignment horizontal="center"/>
    </xf>
    <xf numFmtId="170" fontId="126" fillId="0" borderId="75" xfId="1780" applyNumberFormat="1" applyFont="1" applyFill="1" applyBorder="1" applyAlignment="1" applyProtection="1">
      <alignment horizontal="center"/>
    </xf>
    <xf numFmtId="170" fontId="126" fillId="109" borderId="27" xfId="1780" applyNumberFormat="1" applyFont="1" applyFill="1" applyBorder="1" applyAlignment="1" applyProtection="1">
      <alignment horizontal="center"/>
    </xf>
    <xf numFmtId="170" fontId="126" fillId="0" borderId="76" xfId="1780" applyNumberFormat="1" applyFont="1" applyFill="1" applyBorder="1" applyAlignment="1" applyProtection="1">
      <alignment horizontal="center"/>
    </xf>
    <xf numFmtId="0" fontId="126" fillId="109" borderId="72" xfId="1780" applyNumberFormat="1" applyFont="1" applyFill="1" applyBorder="1" applyAlignment="1" applyProtection="1">
      <alignment horizontal="center"/>
    </xf>
    <xf numFmtId="197" fontId="126" fillId="111" borderId="73" xfId="1780" applyNumberFormat="1" applyFont="1" applyFill="1" applyBorder="1" applyAlignment="1" applyProtection="1">
      <alignment horizontal="center"/>
    </xf>
    <xf numFmtId="0" fontId="149" fillId="0" borderId="72" xfId="1780" applyFont="1" applyFill="1" applyBorder="1" applyAlignment="1">
      <alignment horizontal="center"/>
    </xf>
    <xf numFmtId="0" fontId="149" fillId="0" borderId="18" xfId="1780" applyFont="1" applyFill="1" applyBorder="1" applyAlignment="1">
      <alignment horizontal="center"/>
    </xf>
    <xf numFmtId="197" fontId="126" fillId="109" borderId="59" xfId="1780" applyNumberFormat="1" applyFont="1" applyFill="1" applyBorder="1" applyAlignment="1" applyProtection="1">
      <alignment horizontal="center"/>
    </xf>
    <xf numFmtId="0" fontId="126" fillId="109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Protection="1"/>
    <xf numFmtId="0" fontId="126" fillId="109" borderId="76" xfId="1780" applyFont="1" applyFill="1" applyBorder="1" applyProtection="1"/>
    <xf numFmtId="0" fontId="126" fillId="29" borderId="72" xfId="1781" applyFont="1" applyFill="1" applyBorder="1" applyAlignment="1">
      <alignment horizontal="center"/>
    </xf>
    <xf numFmtId="0" fontId="126" fillId="29" borderId="18" xfId="1781" applyFont="1" applyFill="1" applyBorder="1" applyAlignment="1">
      <alignment horizontal="center"/>
    </xf>
    <xf numFmtId="0" fontId="126" fillId="29" borderId="77" xfId="1781" applyFont="1" applyFill="1" applyBorder="1" applyAlignment="1">
      <alignment horizontal="center"/>
    </xf>
    <xf numFmtId="0" fontId="126" fillId="29" borderId="27" xfId="1781" applyFont="1" applyFill="1" applyBorder="1" applyAlignment="1">
      <alignment horizontal="center"/>
    </xf>
    <xf numFmtId="0" fontId="126" fillId="109" borderId="24" xfId="1780" applyFont="1" applyFill="1" applyBorder="1" applyAlignment="1" applyProtection="1">
      <alignment horizontal="center"/>
    </xf>
    <xf numFmtId="193" fontId="126" fillId="0" borderId="72" xfId="1780" applyNumberFormat="1" applyFont="1" applyFill="1" applyBorder="1" applyAlignment="1" applyProtection="1">
      <alignment horizontal="center"/>
    </xf>
    <xf numFmtId="0" fontId="149" fillId="0" borderId="17" xfId="1780" applyFont="1" applyFill="1" applyBorder="1" applyAlignment="1">
      <alignment horizontal="center"/>
    </xf>
    <xf numFmtId="193" fontId="126" fillId="0" borderId="59" xfId="1780" applyNumberFormat="1" applyFont="1" applyFill="1" applyBorder="1" applyAlignment="1" applyProtection="1">
      <alignment horizontal="center"/>
    </xf>
    <xf numFmtId="0" fontId="126" fillId="109" borderId="77" xfId="1780" applyFont="1" applyFill="1" applyBorder="1" applyAlignment="1" applyProtection="1">
      <alignment horizontal="center"/>
    </xf>
    <xf numFmtId="0" fontId="126" fillId="0" borderId="75" xfId="1780" applyFont="1" applyBorder="1" applyProtection="1"/>
    <xf numFmtId="193" fontId="126" fillId="0" borderId="77" xfId="1780" applyNumberFormat="1" applyFont="1" applyFill="1" applyBorder="1" applyAlignment="1" applyProtection="1">
      <alignment horizontal="center"/>
    </xf>
    <xf numFmtId="173" fontId="126" fillId="0" borderId="0" xfId="1780" applyNumberFormat="1" applyFont="1" applyBorder="1"/>
    <xf numFmtId="0" fontId="126" fillId="110" borderId="77" xfId="1780" applyFont="1" applyFill="1" applyBorder="1" applyProtection="1"/>
    <xf numFmtId="197" fontId="126" fillId="111" borderId="27" xfId="1780" applyNumberFormat="1" applyFont="1" applyFill="1" applyBorder="1" applyAlignment="1" applyProtection="1">
      <alignment horizontal="center"/>
    </xf>
    <xf numFmtId="0" fontId="126" fillId="0" borderId="77" xfId="1780" applyFont="1" applyBorder="1" applyAlignment="1" applyProtection="1">
      <alignment horizontal="center"/>
    </xf>
    <xf numFmtId="0" fontId="126" fillId="0" borderId="76" xfId="1780" applyFont="1" applyBorder="1" applyAlignment="1" applyProtection="1">
      <alignment horizontal="center"/>
    </xf>
    <xf numFmtId="170" fontId="126" fillId="0" borderId="77" xfId="1780" applyNumberFormat="1" applyFont="1" applyBorder="1" applyAlignment="1" applyProtection="1">
      <alignment horizontal="center"/>
    </xf>
    <xf numFmtId="170" fontId="126" fillId="0" borderId="76" xfId="1780" applyNumberFormat="1" applyFont="1" applyBorder="1" applyAlignment="1" applyProtection="1">
      <alignment horizontal="center"/>
    </xf>
    <xf numFmtId="199" fontId="126" fillId="109" borderId="59" xfId="1780" applyNumberFormat="1" applyFont="1" applyFill="1" applyBorder="1" applyAlignment="1" applyProtection="1">
      <alignment horizontal="center"/>
    </xf>
    <xf numFmtId="0" fontId="63" fillId="55" borderId="18" xfId="1780" applyFont="1" applyFill="1" applyBorder="1" applyAlignment="1" applyProtection="1">
      <alignment horizontal="center"/>
    </xf>
    <xf numFmtId="170" fontId="63" fillId="109" borderId="72" xfId="1780" applyNumberFormat="1" applyFont="1" applyFill="1" applyBorder="1" applyAlignment="1" applyProtection="1">
      <alignment horizontal="center"/>
    </xf>
    <xf numFmtId="170" fontId="63" fillId="109" borderId="71" xfId="1780" applyNumberFormat="1" applyFont="1" applyFill="1" applyBorder="1" applyAlignment="1" applyProtection="1">
      <alignment horizontal="center"/>
    </xf>
    <xf numFmtId="195" fontId="126" fillId="0" borderId="0" xfId="1780" applyNumberFormat="1" applyFont="1" applyBorder="1"/>
    <xf numFmtId="200" fontId="126" fillId="111" borderId="18" xfId="1780" applyNumberFormat="1" applyFont="1" applyFill="1" applyBorder="1" applyAlignment="1" applyProtection="1">
      <alignment horizontal="center"/>
    </xf>
    <xf numFmtId="170" fontId="126" fillId="0" borderId="18" xfId="1780" applyNumberFormat="1" applyFont="1" applyFill="1" applyBorder="1" applyAlignment="1" applyProtection="1">
      <alignment horizontal="center"/>
    </xf>
    <xf numFmtId="0" fontId="126" fillId="109" borderId="18" xfId="1780" applyFont="1" applyFill="1" applyBorder="1" applyAlignment="1" applyProtection="1">
      <alignment horizontal="center"/>
    </xf>
    <xf numFmtId="170" fontId="126" fillId="0" borderId="70" xfId="1780" applyNumberFormat="1" applyFont="1" applyBorder="1" applyAlignment="1" applyProtection="1">
      <alignment horizontal="center"/>
    </xf>
    <xf numFmtId="198" fontId="126" fillId="0" borderId="0" xfId="1780" applyNumberFormat="1" applyFont="1" applyBorder="1"/>
    <xf numFmtId="0" fontId="150" fillId="110" borderId="27" xfId="1780" applyFont="1" applyFill="1" applyBorder="1" applyProtection="1"/>
    <xf numFmtId="200" fontId="126" fillId="111" borderId="27" xfId="1780" applyNumberFormat="1" applyFont="1" applyFill="1" applyBorder="1" applyAlignment="1" applyProtection="1">
      <alignment horizontal="center"/>
    </xf>
    <xf numFmtId="170" fontId="126" fillId="0" borderId="27" xfId="1780" applyNumberFormat="1" applyFont="1" applyFill="1" applyBorder="1" applyAlignment="1" applyProtection="1">
      <alignment horizontal="center"/>
    </xf>
    <xf numFmtId="0" fontId="126" fillId="109" borderId="27" xfId="1780" applyFont="1" applyFill="1" applyBorder="1" applyAlignment="1" applyProtection="1">
      <alignment horizontal="center"/>
    </xf>
    <xf numFmtId="167" fontId="148" fillId="108" borderId="18" xfId="1780" applyNumberFormat="1" applyFont="1" applyFill="1" applyBorder="1" applyAlignment="1" applyProtection="1">
      <alignment horizontal="center"/>
    </xf>
    <xf numFmtId="0" fontId="126" fillId="0" borderId="27" xfId="1780" applyFont="1" applyBorder="1" applyAlignment="1" applyProtection="1">
      <alignment horizontal="center"/>
    </xf>
    <xf numFmtId="0" fontId="126" fillId="0" borderId="18" xfId="1780" applyFont="1" applyBorder="1" applyAlignment="1" applyProtection="1">
      <alignment horizontal="center"/>
    </xf>
    <xf numFmtId="194" fontId="126" fillId="113" borderId="18" xfId="1780" applyNumberFormat="1" applyFont="1" applyFill="1" applyBorder="1" applyAlignment="1" applyProtection="1">
      <alignment horizontal="center"/>
    </xf>
    <xf numFmtId="0" fontId="126" fillId="0" borderId="0" xfId="1780" applyFont="1" applyBorder="1" applyAlignment="1" applyProtection="1">
      <alignment horizontal="right"/>
    </xf>
    <xf numFmtId="0" fontId="126" fillId="111" borderId="18" xfId="1780" applyNumberFormat="1" applyFont="1" applyFill="1" applyBorder="1" applyAlignment="1" applyProtection="1">
      <alignment horizontal="center"/>
    </xf>
    <xf numFmtId="194" fontId="126" fillId="0" borderId="72" xfId="1780" applyNumberFormat="1" applyFont="1" applyBorder="1" applyAlignment="1">
      <alignment horizontal="center"/>
    </xf>
    <xf numFmtId="194" fontId="126" fillId="0" borderId="17" xfId="1780" applyNumberFormat="1" applyFont="1" applyBorder="1"/>
    <xf numFmtId="173" fontId="126" fillId="109" borderId="18" xfId="1780" applyNumberFormat="1" applyFont="1" applyFill="1" applyBorder="1" applyAlignment="1" applyProtection="1">
      <alignment horizontal="center"/>
    </xf>
    <xf numFmtId="194" fontId="126" fillId="0" borderId="76" xfId="1780" applyNumberFormat="1" applyFont="1" applyBorder="1" applyAlignment="1" applyProtection="1">
      <alignment horizontal="center"/>
    </xf>
    <xf numFmtId="169" fontId="126" fillId="0" borderId="0" xfId="1780" applyNumberFormat="1" applyFont="1" applyBorder="1"/>
    <xf numFmtId="194" fontId="126" fillId="113" borderId="73" xfId="1780" applyNumberFormat="1" applyFont="1" applyFill="1" applyBorder="1" applyAlignment="1" applyProtection="1">
      <alignment horizontal="center"/>
    </xf>
    <xf numFmtId="0" fontId="126" fillId="111" borderId="73" xfId="1780" applyNumberFormat="1" applyFont="1" applyFill="1" applyBorder="1" applyAlignment="1" applyProtection="1">
      <alignment horizontal="center"/>
    </xf>
    <xf numFmtId="194" fontId="126" fillId="0" borderId="59" xfId="1780" applyNumberFormat="1" applyFont="1" applyBorder="1" applyAlignment="1">
      <alignment horizontal="center"/>
    </xf>
    <xf numFmtId="194" fontId="126" fillId="0" borderId="74" xfId="1780" applyNumberFormat="1" applyFont="1" applyBorder="1"/>
    <xf numFmtId="170" fontId="126" fillId="0" borderId="73" xfId="1780" applyNumberFormat="1" applyFont="1" applyFill="1" applyBorder="1" applyAlignment="1" applyProtection="1">
      <alignment horizontal="center"/>
    </xf>
    <xf numFmtId="173" fontId="126" fillId="109" borderId="73" xfId="1780" applyNumberFormat="1" applyFont="1" applyFill="1" applyBorder="1" applyAlignment="1" applyProtection="1">
      <alignment horizontal="center"/>
    </xf>
    <xf numFmtId="15" fontId="126" fillId="113" borderId="73" xfId="1780" applyNumberFormat="1" applyFont="1" applyFill="1" applyBorder="1" applyAlignment="1" applyProtection="1">
      <alignment horizontal="center"/>
      <protection locked="0"/>
    </xf>
    <xf numFmtId="0" fontId="126" fillId="114" borderId="17" xfId="1780" applyFont="1" applyFill="1" applyBorder="1" applyProtection="1"/>
    <xf numFmtId="0" fontId="126" fillId="113" borderId="17" xfId="1780" applyFont="1" applyFill="1" applyBorder="1" applyAlignment="1" applyProtection="1">
      <alignment horizontal="center"/>
    </xf>
    <xf numFmtId="0" fontId="63" fillId="109" borderId="72" xfId="1780" applyFont="1" applyFill="1" applyBorder="1" applyAlignment="1" applyProtection="1">
      <alignment horizontal="center"/>
    </xf>
    <xf numFmtId="0" fontId="63" fillId="109" borderId="70" xfId="1780" applyFont="1" applyFill="1" applyBorder="1" applyAlignment="1" applyProtection="1">
      <alignment horizontal="center"/>
    </xf>
    <xf numFmtId="0" fontId="126" fillId="115" borderId="18" xfId="1780" applyFont="1" applyFill="1" applyBorder="1" applyProtection="1"/>
    <xf numFmtId="173" fontId="126" fillId="0" borderId="70" xfId="1780" applyNumberFormat="1" applyFont="1" applyBorder="1" applyAlignment="1" applyProtection="1">
      <alignment horizontal="center"/>
    </xf>
    <xf numFmtId="174" fontId="126" fillId="0" borderId="71" xfId="1780" applyNumberFormat="1" applyFont="1" applyBorder="1" applyAlignment="1" applyProtection="1">
      <alignment horizontal="center"/>
    </xf>
    <xf numFmtId="0" fontId="126" fillId="115" borderId="73" xfId="1780" applyFont="1" applyFill="1" applyBorder="1" applyProtection="1"/>
    <xf numFmtId="0" fontId="126" fillId="109" borderId="73" xfId="1780" applyFont="1" applyFill="1" applyBorder="1" applyAlignment="1" applyProtection="1">
      <alignment horizontal="center"/>
    </xf>
    <xf numFmtId="170" fontId="126" fillId="0" borderId="0" xfId="1780" applyNumberFormat="1" applyFont="1" applyBorder="1" applyAlignment="1" applyProtection="1">
      <alignment horizontal="center"/>
    </xf>
    <xf numFmtId="173" fontId="126" fillId="0" borderId="0" xfId="1780" applyNumberFormat="1" applyFont="1" applyBorder="1" applyAlignment="1" applyProtection="1">
      <alignment horizontal="center"/>
    </xf>
    <xf numFmtId="174" fontId="126" fillId="0" borderId="74" xfId="1780" applyNumberFormat="1" applyFont="1" applyBorder="1" applyAlignment="1" applyProtection="1">
      <alignment horizontal="center"/>
    </xf>
    <xf numFmtId="0" fontId="126" fillId="0" borderId="17" xfId="1780" applyFont="1" applyBorder="1" applyAlignment="1">
      <alignment horizontal="left"/>
    </xf>
    <xf numFmtId="0" fontId="126" fillId="115" borderId="27" xfId="1780" applyFont="1" applyFill="1" applyBorder="1" applyProtection="1"/>
    <xf numFmtId="0" fontId="126" fillId="0" borderId="73" xfId="1780" applyFont="1" applyBorder="1" applyAlignment="1">
      <alignment horizontal="left"/>
    </xf>
    <xf numFmtId="0" fontId="126" fillId="116" borderId="17" xfId="1780" applyFont="1" applyFill="1" applyBorder="1"/>
    <xf numFmtId="0" fontId="126" fillId="113" borderId="17" xfId="1780" applyFont="1" applyFill="1" applyBorder="1" applyAlignment="1">
      <alignment horizontal="center"/>
    </xf>
    <xf numFmtId="0" fontId="126" fillId="0" borderId="27" xfId="1780" applyFont="1" applyBorder="1" applyAlignment="1">
      <alignment horizontal="left"/>
    </xf>
    <xf numFmtId="0" fontId="126" fillId="109" borderId="73" xfId="1780" applyNumberFormat="1" applyFont="1" applyFill="1" applyBorder="1" applyAlignment="1" applyProtection="1">
      <alignment horizontal="center"/>
    </xf>
    <xf numFmtId="199" fontId="126" fillId="109" borderId="73" xfId="1780" applyNumberFormat="1" applyFont="1" applyFill="1" applyBorder="1" applyAlignment="1" applyProtection="1">
      <alignment horizontal="center"/>
    </xf>
    <xf numFmtId="0" fontId="126" fillId="111" borderId="27" xfId="1780" applyNumberFormat="1" applyFont="1" applyFill="1" applyBorder="1" applyAlignment="1" applyProtection="1">
      <alignment horizontal="center"/>
    </xf>
    <xf numFmtId="194" fontId="126" fillId="0" borderId="77" xfId="1780" applyNumberFormat="1" applyFont="1" applyBorder="1" applyAlignment="1">
      <alignment horizontal="center"/>
    </xf>
    <xf numFmtId="194" fontId="126" fillId="0" borderId="76" xfId="1780" applyNumberFormat="1" applyFont="1" applyBorder="1"/>
    <xf numFmtId="173" fontId="126" fillId="109" borderId="27" xfId="1780" applyNumberFormat="1" applyFont="1" applyFill="1" applyBorder="1" applyAlignment="1" applyProtection="1">
      <alignment horizontal="center"/>
    </xf>
    <xf numFmtId="0" fontId="126" fillId="113" borderId="18" xfId="1780" quotePrefix="1" applyFont="1" applyFill="1" applyBorder="1" applyAlignment="1" applyProtection="1">
      <alignment horizontal="center"/>
    </xf>
    <xf numFmtId="199" fontId="126" fillId="111" borderId="71" xfId="1780" applyNumberFormat="1" applyFont="1" applyFill="1" applyBorder="1" applyAlignment="1" applyProtection="1">
      <alignment horizontal="center"/>
    </xf>
    <xf numFmtId="0" fontId="126" fillId="0" borderId="72" xfId="1780" applyFont="1" applyFill="1" applyBorder="1" applyAlignment="1" applyProtection="1">
      <alignment horizontal="center"/>
    </xf>
    <xf numFmtId="193" fontId="126" fillId="113" borderId="73" xfId="1780" applyNumberFormat="1" applyFont="1" applyFill="1" applyBorder="1" applyAlignment="1" applyProtection="1">
      <alignment horizontal="center"/>
    </xf>
    <xf numFmtId="199" fontId="126" fillId="111" borderId="74" xfId="1780" applyNumberFormat="1" applyFont="1" applyFill="1" applyBorder="1" applyAlignment="1" applyProtection="1">
      <alignment horizontal="center"/>
    </xf>
    <xf numFmtId="0" fontId="126" fillId="0" borderId="59" xfId="1780" applyFont="1" applyFill="1" applyBorder="1" applyAlignment="1" applyProtection="1">
      <alignment horizontal="center"/>
    </xf>
    <xf numFmtId="170" fontId="126" fillId="0" borderId="75" xfId="1780" applyNumberFormat="1" applyFont="1" applyBorder="1" applyAlignment="1" applyProtection="1">
      <alignment horizontal="center"/>
    </xf>
    <xf numFmtId="173" fontId="126" fillId="0" borderId="75" xfId="1780" applyNumberFormat="1" applyFont="1" applyBorder="1" applyAlignment="1" applyProtection="1">
      <alignment horizontal="center"/>
    </xf>
    <xf numFmtId="174" fontId="126" fillId="0" borderId="76" xfId="1780" applyNumberFormat="1" applyFont="1" applyBorder="1" applyAlignment="1" applyProtection="1">
      <alignment horizontal="center"/>
    </xf>
    <xf numFmtId="0" fontId="126" fillId="116" borderId="18" xfId="1780" applyFont="1" applyFill="1" applyBorder="1" applyProtection="1"/>
    <xf numFmtId="0" fontId="126" fillId="113" borderId="18" xfId="1780" applyFont="1" applyFill="1" applyBorder="1" applyAlignment="1" applyProtection="1">
      <alignment horizontal="center"/>
    </xf>
    <xf numFmtId="0" fontId="126" fillId="116" borderId="73" xfId="1780" applyFont="1" applyFill="1" applyBorder="1" applyProtection="1"/>
    <xf numFmtId="0" fontId="126" fillId="113" borderId="73" xfId="1780" applyFont="1" applyFill="1" applyBorder="1" applyAlignment="1" applyProtection="1">
      <alignment horizontal="center"/>
    </xf>
    <xf numFmtId="199" fontId="126" fillId="109" borderId="18" xfId="1780" applyNumberFormat="1" applyFont="1" applyFill="1" applyBorder="1" applyAlignment="1" applyProtection="1">
      <alignment horizontal="center"/>
    </xf>
    <xf numFmtId="0" fontId="126" fillId="116" borderId="27" xfId="1780" applyFont="1" applyFill="1" applyBorder="1" applyProtection="1"/>
    <xf numFmtId="197" fontId="126" fillId="0" borderId="0" xfId="1780" applyNumberFormat="1" applyFont="1" applyBorder="1"/>
    <xf numFmtId="0" fontId="126" fillId="114" borderId="18" xfId="1780" applyFont="1" applyFill="1" applyBorder="1"/>
    <xf numFmtId="0" fontId="126" fillId="113" borderId="18" xfId="1780" applyFont="1" applyFill="1" applyBorder="1" applyAlignment="1">
      <alignment horizontal="center"/>
    </xf>
    <xf numFmtId="0" fontId="126" fillId="114" borderId="27" xfId="1780" applyFont="1" applyFill="1" applyBorder="1" applyProtection="1"/>
    <xf numFmtId="0" fontId="126" fillId="34" borderId="18" xfId="1780" applyFont="1" applyFill="1" applyBorder="1" applyProtection="1"/>
    <xf numFmtId="0" fontId="126" fillId="34" borderId="73" xfId="1780" applyFont="1" applyFill="1" applyBorder="1" applyProtection="1"/>
    <xf numFmtId="0" fontId="126" fillId="113" borderId="73" xfId="1780" applyFont="1" applyFill="1" applyBorder="1" applyAlignment="1">
      <alignment horizontal="center"/>
    </xf>
    <xf numFmtId="0" fontId="126" fillId="34" borderId="27" xfId="1780" applyFont="1" applyFill="1" applyBorder="1" applyProtection="1"/>
    <xf numFmtId="0" fontId="126" fillId="0" borderId="59" xfId="1780" applyFont="1" applyFill="1" applyBorder="1"/>
    <xf numFmtId="0" fontId="150" fillId="70" borderId="27" xfId="1780" applyFont="1" applyFill="1" applyBorder="1" applyProtection="1"/>
    <xf numFmtId="170" fontId="150" fillId="35" borderId="17" xfId="1782" applyNumberFormat="1" applyFont="1" applyFill="1" applyBorder="1" applyAlignment="1">
      <alignment horizontal="center"/>
    </xf>
    <xf numFmtId="0" fontId="126" fillId="0" borderId="59" xfId="1780" applyFont="1" applyBorder="1"/>
    <xf numFmtId="0" fontId="126" fillId="0" borderId="18" xfId="1780" applyFont="1" applyFill="1" applyBorder="1"/>
    <xf numFmtId="0" fontId="126" fillId="0" borderId="18" xfId="1780" applyFont="1" applyFill="1" applyBorder="1" applyAlignment="1">
      <alignment horizontal="center"/>
    </xf>
    <xf numFmtId="0" fontId="126" fillId="0" borderId="73" xfId="1780" applyFont="1" applyFill="1" applyBorder="1"/>
    <xf numFmtId="0" fontId="126" fillId="0" borderId="73" xfId="1780" applyFont="1" applyFill="1" applyBorder="1" applyAlignment="1">
      <alignment horizontal="center"/>
    </xf>
    <xf numFmtId="170" fontId="126" fillId="0" borderId="73" xfId="1780" applyNumberFormat="1" applyFont="1" applyFill="1" applyBorder="1" applyAlignment="1">
      <alignment horizontal="center"/>
    </xf>
    <xf numFmtId="199" fontId="126" fillId="109" borderId="27" xfId="1780" applyNumberFormat="1" applyFont="1" applyFill="1" applyBorder="1" applyAlignment="1" applyProtection="1">
      <alignment horizontal="center"/>
    </xf>
    <xf numFmtId="0" fontId="126" fillId="0" borderId="73" xfId="1780" applyFont="1" applyBorder="1" applyAlignment="1">
      <alignment horizontal="center"/>
    </xf>
    <xf numFmtId="0" fontId="126" fillId="109" borderId="27" xfId="1780" applyNumberFormat="1" applyFont="1" applyFill="1" applyBorder="1" applyAlignment="1" applyProtection="1">
      <alignment horizontal="center"/>
    </xf>
    <xf numFmtId="0" fontId="150" fillId="0" borderId="73" xfId="1780" applyFont="1" applyFill="1" applyBorder="1" applyAlignment="1">
      <alignment horizontal="center"/>
    </xf>
    <xf numFmtId="170" fontId="150" fillId="0" borderId="73" xfId="1780" applyNumberFormat="1" applyFont="1" applyFill="1" applyBorder="1" applyAlignment="1">
      <alignment horizontal="center"/>
    </xf>
    <xf numFmtId="0" fontId="126" fillId="0" borderId="27" xfId="1780" applyFont="1" applyFill="1" applyBorder="1"/>
    <xf numFmtId="0" fontId="126" fillId="29" borderId="73" xfId="1781" applyFont="1" applyFill="1" applyBorder="1" applyAlignment="1">
      <alignment horizontal="center"/>
    </xf>
    <xf numFmtId="0" fontId="126" fillId="0" borderId="72" xfId="1780" applyFont="1" applyBorder="1"/>
    <xf numFmtId="0" fontId="126" fillId="0" borderId="18" xfId="1780" applyFont="1" applyBorder="1" applyAlignment="1">
      <alignment horizontal="center"/>
    </xf>
    <xf numFmtId="0" fontId="126" fillId="0" borderId="77" xfId="1780" applyFont="1" applyBorder="1"/>
    <xf numFmtId="0" fontId="126" fillId="0" borderId="27" xfId="1780" applyFont="1" applyBorder="1" applyAlignment="1">
      <alignment horizontal="center"/>
    </xf>
    <xf numFmtId="199" fontId="126" fillId="111" borderId="76" xfId="1780" applyNumberFormat="1" applyFont="1" applyFill="1" applyBorder="1" applyAlignment="1" applyProtection="1">
      <alignment horizontal="center"/>
    </xf>
    <xf numFmtId="0" fontId="126" fillId="0" borderId="77" xfId="1780" applyFont="1" applyFill="1" applyBorder="1" applyAlignment="1" applyProtection="1">
      <alignment horizontal="center"/>
    </xf>
    <xf numFmtId="193" fontId="126" fillId="112" borderId="77" xfId="1780" applyNumberFormat="1" applyFont="1" applyFill="1" applyBorder="1" applyAlignment="1" applyProtection="1">
      <alignment horizontal="center"/>
    </xf>
    <xf numFmtId="0" fontId="126" fillId="0" borderId="0" xfId="1780" applyFont="1" applyProtection="1"/>
    <xf numFmtId="0" fontId="126" fillId="0" borderId="78" xfId="1780" applyFont="1" applyBorder="1"/>
    <xf numFmtId="0" fontId="126" fillId="0" borderId="79" xfId="1780" applyFont="1" applyBorder="1"/>
    <xf numFmtId="0" fontId="126" fillId="0" borderId="79" xfId="1780" applyFont="1" applyBorder="1" applyProtection="1"/>
    <xf numFmtId="0" fontId="126" fillId="0" borderId="80" xfId="1780" applyFont="1" applyBorder="1" applyProtection="1"/>
    <xf numFmtId="0" fontId="126" fillId="0" borderId="79" xfId="1780" applyFont="1" applyBorder="1" applyAlignment="1" applyProtection="1">
      <alignment horizontal="center"/>
    </xf>
    <xf numFmtId="167" fontId="19" fillId="34" borderId="22" xfId="70" applyNumberFormat="1" applyFont="1" applyFill="1" applyBorder="1" applyAlignment="1">
      <alignment horizontal="center"/>
    </xf>
    <xf numFmtId="188" fontId="31" fillId="34" borderId="22" xfId="70" applyNumberFormat="1" applyFont="1" applyFill="1" applyBorder="1" applyAlignment="1">
      <alignment horizontal="center"/>
    </xf>
    <xf numFmtId="0" fontId="106" fillId="0" borderId="27" xfId="0" applyFont="1" applyBorder="1" applyAlignment="1">
      <alignment horizontal="center"/>
    </xf>
    <xf numFmtId="167" fontId="20" fillId="29" borderId="37" xfId="0" applyNumberFormat="1" applyFont="1" applyFill="1" applyBorder="1" applyAlignment="1">
      <alignment horizontal="left"/>
    </xf>
    <xf numFmtId="0" fontId="148" fillId="108" borderId="17" xfId="1780" applyNumberFormat="1" applyFont="1" applyFill="1" applyBorder="1" applyAlignment="1" applyProtection="1">
      <alignment horizontal="center"/>
    </xf>
    <xf numFmtId="0" fontId="126" fillId="69" borderId="19" xfId="1780" applyFont="1" applyFill="1" applyBorder="1" applyProtection="1"/>
    <xf numFmtId="0" fontId="147" fillId="69" borderId="0" xfId="1781" applyFont="1" applyFill="1"/>
    <xf numFmtId="0" fontId="23" fillId="0" borderId="37" xfId="0" applyFont="1" applyBorder="1"/>
    <xf numFmtId="0" fontId="151" fillId="0" borderId="0" xfId="0" applyFont="1" applyAlignment="1">
      <alignment horizontal="center"/>
    </xf>
    <xf numFmtId="0" fontId="151" fillId="0" borderId="54" xfId="0" applyFont="1" applyBorder="1" applyAlignment="1">
      <alignment horizontal="center"/>
    </xf>
    <xf numFmtId="0" fontId="151" fillId="0" borderId="0" xfId="0" applyFont="1"/>
    <xf numFmtId="0" fontId="152" fillId="0" borderId="55" xfId="0" applyFont="1" applyBorder="1" applyAlignment="1">
      <alignment horizontal="center"/>
    </xf>
    <xf numFmtId="0" fontId="151" fillId="0" borderId="0" xfId="0" applyFont="1" applyAlignment="1">
      <alignment horizontal="right"/>
    </xf>
    <xf numFmtId="0" fontId="152" fillId="0" borderId="77" xfId="0" applyFont="1" applyBorder="1" applyAlignment="1">
      <alignment horizontal="center"/>
    </xf>
    <xf numFmtId="0" fontId="151" fillId="0" borderId="17" xfId="0" applyFont="1" applyBorder="1" applyAlignment="1">
      <alignment horizontal="center"/>
    </xf>
    <xf numFmtId="2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center"/>
    </xf>
    <xf numFmtId="15" fontId="151" fillId="0" borderId="0" xfId="0" applyNumberFormat="1" applyFont="1" applyBorder="1" applyAlignment="1">
      <alignment horizontal="left"/>
    </xf>
    <xf numFmtId="168" fontId="151" fillId="0" borderId="0" xfId="0" applyNumberFormat="1" applyFont="1" applyBorder="1" applyAlignment="1">
      <alignment horizontal="center"/>
    </xf>
    <xf numFmtId="0" fontId="151" fillId="0" borderId="0" xfId="0" applyFont="1" applyBorder="1" applyAlignment="1">
      <alignment horizontal="left"/>
    </xf>
    <xf numFmtId="15" fontId="151" fillId="0" borderId="36" xfId="0" applyNumberFormat="1" applyFont="1" applyBorder="1" applyAlignment="1">
      <alignment horizontal="left"/>
    </xf>
    <xf numFmtId="2" fontId="151" fillId="0" borderId="36" xfId="0" applyNumberFormat="1" applyFont="1" applyBorder="1" applyAlignment="1">
      <alignment horizontal="center"/>
    </xf>
    <xf numFmtId="168" fontId="151" fillId="0" borderId="36" xfId="0" applyNumberFormat="1" applyFont="1" applyBorder="1" applyAlignment="1">
      <alignment horizontal="center"/>
    </xf>
    <xf numFmtId="0" fontId="151" fillId="0" borderId="36" xfId="0" applyFont="1" applyBorder="1" applyAlignment="1">
      <alignment horizontal="left"/>
    </xf>
    <xf numFmtId="0" fontId="151" fillId="0" borderId="36" xfId="0" applyFont="1" applyBorder="1" applyAlignment="1">
      <alignment horizontal="center"/>
    </xf>
    <xf numFmtId="201" fontId="151" fillId="0" borderId="37" xfId="0" applyNumberFormat="1" applyFont="1" applyBorder="1" applyAlignment="1">
      <alignment horizontal="center"/>
    </xf>
    <xf numFmtId="201" fontId="151" fillId="0" borderId="52" xfId="0" applyNumberFormat="1" applyFont="1" applyBorder="1" applyAlignment="1">
      <alignment horizontal="center"/>
    </xf>
    <xf numFmtId="15" fontId="151" fillId="0" borderId="21" xfId="0" applyNumberFormat="1" applyFont="1" applyBorder="1" applyAlignment="1">
      <alignment horizontal="left"/>
    </xf>
    <xf numFmtId="2" fontId="151" fillId="0" borderId="21" xfId="0" applyNumberFormat="1" applyFont="1" applyBorder="1" applyAlignment="1">
      <alignment horizontal="center"/>
    </xf>
    <xf numFmtId="168" fontId="151" fillId="0" borderId="21" xfId="0" applyNumberFormat="1" applyFont="1" applyBorder="1" applyAlignment="1">
      <alignment horizontal="center"/>
    </xf>
    <xf numFmtId="0" fontId="151" fillId="0" borderId="21" xfId="0" applyFont="1" applyBorder="1" applyAlignment="1">
      <alignment horizontal="left"/>
    </xf>
    <xf numFmtId="0" fontId="151" fillId="0" borderId="21" xfId="0" applyFont="1" applyBorder="1" applyAlignment="1">
      <alignment horizontal="center"/>
    </xf>
    <xf numFmtId="201" fontId="151" fillId="0" borderId="39" xfId="0" applyNumberFormat="1" applyFont="1" applyBorder="1" applyAlignment="1">
      <alignment horizontal="center"/>
    </xf>
    <xf numFmtId="14" fontId="126" fillId="0" borderId="0" xfId="1780" applyNumberFormat="1" applyFont="1" applyBorder="1"/>
    <xf numFmtId="202" fontId="24" fillId="37" borderId="22" xfId="0" applyNumberFormat="1" applyFont="1" applyFill="1" applyBorder="1" applyAlignment="1">
      <alignment horizontal="center"/>
    </xf>
    <xf numFmtId="202" fontId="24" fillId="35" borderId="22" xfId="0" applyNumberFormat="1" applyFont="1" applyFill="1" applyBorder="1" applyAlignment="1">
      <alignment horizontal="center"/>
    </xf>
    <xf numFmtId="202" fontId="24" fillId="33" borderId="22" xfId="0" applyNumberFormat="1" applyFont="1" applyFill="1" applyBorder="1" applyAlignment="1">
      <alignment horizontal="center"/>
    </xf>
    <xf numFmtId="202" fontId="24" fillId="45" borderId="22" xfId="0" applyNumberFormat="1" applyFont="1" applyFill="1" applyBorder="1" applyAlignment="1">
      <alignment horizontal="center"/>
    </xf>
    <xf numFmtId="202" fontId="24" fillId="36" borderId="22" xfId="0" applyNumberFormat="1" applyFont="1" applyFill="1" applyBorder="1" applyAlignment="1">
      <alignment horizontal="center"/>
    </xf>
    <xf numFmtId="202" fontId="24" fillId="38" borderId="22" xfId="0" applyNumberFormat="1" applyFont="1" applyFill="1" applyBorder="1" applyAlignment="1">
      <alignment horizontal="center"/>
    </xf>
    <xf numFmtId="202" fontId="24" fillId="43" borderId="22" xfId="0" applyNumberFormat="1" applyFont="1" applyFill="1" applyBorder="1" applyAlignment="1">
      <alignment horizontal="center"/>
    </xf>
    <xf numFmtId="202" fontId="24" fillId="44" borderId="22" xfId="0" applyNumberFormat="1" applyFont="1" applyFill="1" applyBorder="1" applyAlignment="1">
      <alignment horizontal="center"/>
    </xf>
    <xf numFmtId="202" fontId="24" fillId="34" borderId="22" xfId="0" applyNumberFormat="1" applyFont="1" applyFill="1" applyBorder="1" applyAlignment="1">
      <alignment horizontal="center"/>
    </xf>
    <xf numFmtId="167" fontId="20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3" fillId="51" borderId="0" xfId="0" applyFont="1" applyFill="1" applyBorder="1"/>
    <xf numFmtId="0" fontId="21" fillId="0" borderId="0" xfId="0" applyFont="1" applyBorder="1" applyAlignment="1">
      <alignment horizontal="center"/>
    </xf>
    <xf numFmtId="0" fontId="21" fillId="37" borderId="0" xfId="0" applyFont="1" applyFill="1" applyBorder="1" applyAlignment="1">
      <alignment horizontal="center"/>
    </xf>
    <xf numFmtId="0" fontId="23" fillId="117" borderId="0" xfId="0" applyFont="1" applyFill="1" applyBorder="1"/>
    <xf numFmtId="43" fontId="23" fillId="117" borderId="0" xfId="698" applyFont="1" applyFill="1" applyBorder="1"/>
    <xf numFmtId="167" fontId="20" fillId="117" borderId="0" xfId="70" applyNumberFormat="1" applyFont="1" applyFill="1" applyBorder="1" applyAlignment="1">
      <alignment horizontal="center"/>
    </xf>
    <xf numFmtId="164" fontId="23" fillId="117" borderId="0" xfId="0" applyNumberFormat="1" applyFont="1" applyFill="1" applyBorder="1"/>
    <xf numFmtId="0" fontId="28" fillId="117" borderId="0" xfId="0" applyFont="1" applyFill="1" applyBorder="1"/>
    <xf numFmtId="0" fontId="26" fillId="117" borderId="0" xfId="0" applyFont="1" applyFill="1" applyBorder="1"/>
    <xf numFmtId="0" fontId="24" fillId="117" borderId="0" xfId="0" applyFont="1" applyFill="1" applyBorder="1"/>
    <xf numFmtId="0" fontId="153" fillId="0" borderId="0" xfId="0" applyFont="1" applyFill="1"/>
    <xf numFmtId="0" fontId="153" fillId="117" borderId="0" xfId="0" applyFont="1" applyFill="1" applyBorder="1"/>
    <xf numFmtId="0" fontId="153" fillId="51" borderId="0" xfId="0" applyFont="1" applyFill="1" applyBorder="1"/>
    <xf numFmtId="0" fontId="153" fillId="0" borderId="22" xfId="0" applyFont="1" applyFill="1" applyBorder="1"/>
    <xf numFmtId="0" fontId="22" fillId="118" borderId="18" xfId="0" applyFont="1" applyFill="1" applyBorder="1" applyAlignment="1">
      <alignment horizontal="center" vertical="top"/>
    </xf>
    <xf numFmtId="0" fontId="22" fillId="117" borderId="73" xfId="0" applyFont="1" applyFill="1" applyBorder="1" applyAlignment="1">
      <alignment horizontal="center" vertical="top"/>
    </xf>
    <xf numFmtId="0" fontId="22" fillId="118" borderId="73" xfId="0" applyFont="1" applyFill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7" fontId="27" fillId="117" borderId="0" xfId="70" applyNumberFormat="1" applyFont="1" applyFill="1" applyBorder="1" applyAlignment="1">
      <alignment horizontal="center"/>
    </xf>
    <xf numFmtId="167" fontId="31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9" fillId="0" borderId="0" xfId="0" applyNumberFormat="1" applyFont="1" applyFill="1"/>
    <xf numFmtId="188" fontId="19" fillId="0" borderId="0" xfId="70" applyNumberFormat="1" applyFont="1" applyFill="1"/>
    <xf numFmtId="188" fontId="154" fillId="0" borderId="0" xfId="70" applyNumberFormat="1" applyFont="1" applyFill="1"/>
    <xf numFmtId="188" fontId="27" fillId="0" borderId="0" xfId="70" applyNumberFormat="1" applyFont="1" applyFill="1"/>
    <xf numFmtId="37" fontId="38" fillId="37" borderId="22" xfId="0" applyNumberFormat="1" applyFont="1" applyFill="1" applyBorder="1"/>
    <xf numFmtId="37" fontId="38" fillId="35" borderId="22" xfId="0" applyNumberFormat="1" applyFont="1" applyFill="1" applyBorder="1"/>
    <xf numFmtId="37" fontId="38" fillId="33" borderId="22" xfId="0" applyNumberFormat="1" applyFont="1" applyFill="1" applyBorder="1"/>
    <xf numFmtId="37" fontId="38" fillId="45" borderId="22" xfId="0" applyNumberFormat="1" applyFont="1" applyFill="1" applyBorder="1"/>
    <xf numFmtId="37" fontId="38" fillId="36" borderId="22" xfId="0" applyNumberFormat="1" applyFont="1" applyFill="1" applyBorder="1"/>
    <xf numFmtId="37" fontId="38" fillId="38" borderId="22" xfId="0" applyNumberFormat="1" applyFont="1" applyFill="1" applyBorder="1"/>
    <xf numFmtId="37" fontId="38" fillId="43" borderId="22" xfId="0" applyNumberFormat="1" applyFont="1" applyFill="1" applyBorder="1"/>
    <xf numFmtId="37" fontId="38" fillId="44" borderId="22" xfId="0" applyNumberFormat="1" applyFont="1" applyFill="1" applyBorder="1"/>
    <xf numFmtId="37" fontId="38" fillId="34" borderId="22" xfId="0" applyNumberFormat="1" applyFont="1" applyFill="1" applyBorder="1"/>
    <xf numFmtId="0" fontId="38" fillId="0" borderId="0" xfId="0" applyFont="1"/>
    <xf numFmtId="164" fontId="38" fillId="37" borderId="22" xfId="0" applyNumberFormat="1" applyFont="1" applyFill="1" applyBorder="1" applyAlignment="1">
      <alignment horizontal="center"/>
    </xf>
    <xf numFmtId="0" fontId="19" fillId="0" borderId="0" xfId="1784"/>
    <xf numFmtId="0" fontId="157" fillId="0" borderId="0" xfId="1784" applyFont="1" applyBorder="1" applyAlignment="1">
      <alignment vertical="center"/>
    </xf>
    <xf numFmtId="0" fontId="156" fillId="0" borderId="0" xfId="1784" applyFont="1" applyBorder="1" applyAlignment="1">
      <alignment horizontal="left" vertical="center"/>
    </xf>
    <xf numFmtId="0" fontId="155" fillId="0" borderId="0" xfId="1784" applyFont="1" applyBorder="1"/>
    <xf numFmtId="0" fontId="156" fillId="0" borderId="81" xfId="1784" applyFont="1" applyBorder="1" applyAlignment="1">
      <alignment horizontal="center" vertical="center"/>
    </xf>
    <xf numFmtId="0" fontId="156" fillId="0" borderId="81" xfId="1784" applyFont="1" applyFill="1" applyBorder="1" applyAlignment="1">
      <alignment horizontal="center" vertical="center"/>
    </xf>
    <xf numFmtId="0" fontId="156" fillId="0" borderId="82" xfId="1784" applyFont="1" applyBorder="1" applyAlignment="1">
      <alignment horizontal="left" vertical="center"/>
    </xf>
    <xf numFmtId="0" fontId="156" fillId="0" borderId="82" xfId="1784" applyFont="1" applyBorder="1" applyAlignment="1">
      <alignment vertical="center"/>
    </xf>
    <xf numFmtId="0" fontId="156" fillId="0" borderId="82" xfId="1784" applyFont="1" applyFill="1" applyBorder="1" applyAlignment="1">
      <alignment vertical="center"/>
    </xf>
    <xf numFmtId="0" fontId="159" fillId="0" borderId="0" xfId="1784" applyFont="1" applyFill="1" applyBorder="1"/>
    <xf numFmtId="0" fontId="155" fillId="0" borderId="0" xfId="1784" applyFont="1" applyFill="1" applyBorder="1"/>
    <xf numFmtId="0" fontId="156" fillId="31" borderId="83" xfId="1784" applyFont="1" applyFill="1" applyBorder="1" applyAlignment="1">
      <alignment horizontal="center" vertical="center"/>
    </xf>
    <xf numFmtId="0" fontId="158" fillId="31" borderId="84" xfId="1784" applyFont="1" applyFill="1" applyBorder="1" applyAlignment="1">
      <alignment horizontal="left" vertical="center"/>
    </xf>
    <xf numFmtId="17" fontId="158" fillId="31" borderId="84" xfId="1784" applyNumberFormat="1" applyFont="1" applyFill="1" applyBorder="1" applyAlignment="1">
      <alignment horizontal="left" vertical="center"/>
    </xf>
    <xf numFmtId="2" fontId="156" fillId="0" borderId="82" xfId="1784" applyNumberFormat="1" applyFont="1" applyBorder="1" applyAlignment="1">
      <alignment vertical="center" wrapText="1"/>
    </xf>
    <xf numFmtId="0" fontId="156" fillId="0" borderId="31" xfId="1784" applyFont="1" applyBorder="1" applyAlignment="1">
      <alignment vertical="center"/>
    </xf>
    <xf numFmtId="0" fontId="156" fillId="0" borderId="32" xfId="1784" applyFont="1" applyBorder="1" applyAlignment="1">
      <alignment horizontal="center" vertical="center"/>
    </xf>
    <xf numFmtId="0" fontId="158" fillId="0" borderId="33" xfId="1784" applyFont="1" applyBorder="1" applyAlignment="1">
      <alignment horizontal="center" vertical="center"/>
    </xf>
    <xf numFmtId="0" fontId="158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1" fillId="0" borderId="0" xfId="1800" applyFont="1" applyAlignment="1">
      <alignment horizontal="left"/>
    </xf>
    <xf numFmtId="0" fontId="121" fillId="0" borderId="0" xfId="1800" applyFont="1" applyFill="1" applyAlignment="1">
      <alignment horizontal="left"/>
    </xf>
    <xf numFmtId="14" fontId="121" fillId="0" borderId="0" xfId="1800" applyNumberFormat="1" applyFont="1" applyAlignment="1">
      <alignment horizontal="left"/>
    </xf>
    <xf numFmtId="49" fontId="145" fillId="0" borderId="0" xfId="1800" applyNumberFormat="1" applyFont="1" applyFill="1" applyBorder="1" applyAlignment="1" applyProtection="1"/>
    <xf numFmtId="173" fontId="19" fillId="37" borderId="28" xfId="587" applyNumberFormat="1" applyFont="1" applyFill="1" applyBorder="1" applyAlignment="1" applyProtection="1">
      <alignment horizontal="left"/>
      <protection locked="0"/>
    </xf>
    <xf numFmtId="169" fontId="19" fillId="0" borderId="0" xfId="0" applyNumberFormat="1" applyFont="1" applyAlignment="1">
      <alignment horizontal="left"/>
    </xf>
    <xf numFmtId="2" fontId="0" fillId="0" borderId="0" xfId="0" applyNumberFormat="1"/>
    <xf numFmtId="167" fontId="71" fillId="53" borderId="0" xfId="0" applyNumberFormat="1" applyFont="1" applyFill="1"/>
    <xf numFmtId="167" fontId="32" fillId="52" borderId="0" xfId="70" applyNumberFormat="1" applyFont="1" applyFill="1" applyBorder="1" applyAlignment="1">
      <alignment horizontal="center"/>
    </xf>
    <xf numFmtId="11" fontId="21" fillId="0" borderId="40" xfId="0" applyNumberFormat="1" applyFont="1" applyBorder="1" applyAlignment="1">
      <alignment horizontal="center"/>
    </xf>
    <xf numFmtId="168" fontId="19" fillId="0" borderId="0" xfId="0" applyNumberFormat="1" applyFont="1"/>
    <xf numFmtId="0" fontId="0" fillId="0" borderId="0" xfId="0" applyAlignment="1">
      <alignment horizontal="center" vertical="center"/>
    </xf>
    <xf numFmtId="0" fontId="34" fillId="62" borderId="0" xfId="0" applyFont="1" applyFill="1" applyAlignment="1">
      <alignment horizontal="center"/>
    </xf>
    <xf numFmtId="0" fontId="31" fillId="62" borderId="0" xfId="0" applyFont="1" applyFill="1" applyAlignment="1">
      <alignment horizontal="center"/>
    </xf>
    <xf numFmtId="0" fontId="106" fillId="0" borderId="0" xfId="0" applyFont="1"/>
    <xf numFmtId="0" fontId="27" fillId="62" borderId="0" xfId="0" applyFont="1" applyFill="1"/>
    <xf numFmtId="169" fontId="0" fillId="0" borderId="52" xfId="0" applyNumberFormat="1" applyBorder="1" applyAlignment="1">
      <alignment horizontal="center"/>
    </xf>
    <xf numFmtId="203" fontId="24" fillId="33" borderId="22" xfId="0" applyNumberFormat="1" applyFont="1" applyFill="1" applyBorder="1"/>
    <xf numFmtId="0" fontId="0" fillId="0" borderId="0" xfId="0" applyFill="1" applyBorder="1"/>
    <xf numFmtId="174" fontId="27" fillId="0" borderId="0" xfId="0" applyNumberFormat="1" applyFont="1" applyFill="1" applyBorder="1"/>
    <xf numFmtId="167" fontId="0" fillId="0" borderId="0" xfId="0" applyNumberFormat="1" applyFill="1" applyBorder="1"/>
    <xf numFmtId="167" fontId="27" fillId="0" borderId="0" xfId="0" applyNumberFormat="1" applyFont="1" applyFill="1" applyBorder="1"/>
    <xf numFmtId="167" fontId="62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9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9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9" fillId="0" borderId="0" xfId="0" applyNumberFormat="1" applyFont="1" applyFill="1" applyBorder="1" applyAlignment="1"/>
    <xf numFmtId="167" fontId="19" fillId="0" borderId="24" xfId="0" applyNumberFormat="1" applyFont="1" applyFill="1" applyBorder="1" applyAlignment="1">
      <alignment horizontal="center"/>
    </xf>
    <xf numFmtId="167" fontId="19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9" fillId="0" borderId="0" xfId="0" applyFont="1" applyFill="1" applyBorder="1" applyAlignment="1">
      <alignment horizontal="center"/>
    </xf>
    <xf numFmtId="174" fontId="27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7" fillId="0" borderId="0" xfId="0" applyNumberFormat="1" applyFont="1" applyFill="1" applyBorder="1"/>
    <xf numFmtId="2" fontId="62" fillId="0" borderId="0" xfId="0" applyNumberFormat="1" applyFont="1" applyFill="1" applyBorder="1"/>
    <xf numFmtId="204" fontId="126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9" fillId="0" borderId="86" xfId="0" applyNumberFormat="1" applyFont="1" applyFill="1" applyBorder="1" applyAlignment="1">
      <alignment horizontal="center"/>
    </xf>
    <xf numFmtId="2" fontId="19" fillId="0" borderId="40" xfId="0" applyNumberFormat="1" applyFont="1" applyFill="1" applyBorder="1" applyAlignment="1">
      <alignment horizontal="center"/>
    </xf>
    <xf numFmtId="2" fontId="19" fillId="0" borderId="54" xfId="0" applyNumberFormat="1" applyFont="1" applyFill="1" applyBorder="1" applyAlignment="1">
      <alignment horizontal="center"/>
    </xf>
    <xf numFmtId="2" fontId="19" fillId="0" borderId="59" xfId="0" applyNumberFormat="1" applyFont="1" applyFill="1" applyBorder="1" applyAlignment="1">
      <alignment horizontal="center"/>
    </xf>
    <xf numFmtId="2" fontId="19" fillId="0" borderId="0" xfId="0" applyNumberFormat="1" applyFont="1" applyFill="1" applyBorder="1" applyAlignment="1">
      <alignment horizontal="center"/>
    </xf>
    <xf numFmtId="2" fontId="19" fillId="0" borderId="74" xfId="0" applyNumberFormat="1" applyFont="1" applyFill="1" applyBorder="1" applyAlignment="1">
      <alignment horizontal="center"/>
    </xf>
    <xf numFmtId="2" fontId="19" fillId="0" borderId="77" xfId="0" applyNumberFormat="1" applyFont="1" applyFill="1" applyBorder="1" applyAlignment="1">
      <alignment horizontal="center"/>
    </xf>
    <xf numFmtId="2" fontId="19" fillId="0" borderId="75" xfId="0" applyNumberFormat="1" applyFont="1" applyFill="1" applyBorder="1" applyAlignment="1">
      <alignment horizontal="center"/>
    </xf>
    <xf numFmtId="2" fontId="19" fillId="0" borderId="76" xfId="0" applyNumberFormat="1" applyFont="1" applyFill="1" applyBorder="1" applyAlignment="1">
      <alignment horizontal="center"/>
    </xf>
    <xf numFmtId="174" fontId="19" fillId="0" borderId="25" xfId="0" applyNumberFormat="1" applyFont="1" applyFill="1" applyBorder="1" applyAlignment="1"/>
    <xf numFmtId="0" fontId="19" fillId="0" borderId="24" xfId="0" applyFont="1" applyFill="1" applyBorder="1" applyAlignment="1">
      <alignment horizontal="center"/>
    </xf>
    <xf numFmtId="0" fontId="0" fillId="0" borderId="25" xfId="0" applyFill="1" applyBorder="1"/>
    <xf numFmtId="2" fontId="19" fillId="0" borderId="24" xfId="0" applyNumberFormat="1" applyFont="1" applyFill="1" applyBorder="1" applyAlignment="1">
      <alignment horizontal="center"/>
    </xf>
    <xf numFmtId="2" fontId="19" fillId="0" borderId="25" xfId="0" applyNumberFormat="1" applyFont="1" applyFill="1" applyBorder="1" applyAlignment="1">
      <alignment horizontal="center"/>
    </xf>
    <xf numFmtId="2" fontId="19" fillId="0" borderId="16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Fill="1" applyBorder="1" applyAlignment="1">
      <alignment horizontal="center"/>
    </xf>
    <xf numFmtId="174" fontId="19" fillId="0" borderId="0" xfId="0" applyNumberFormat="1" applyFont="1" applyFill="1" applyBorder="1" applyAlignment="1">
      <alignment horizontal="center"/>
    </xf>
    <xf numFmtId="0" fontId="33" fillId="72" borderId="84" xfId="0" applyFont="1" applyFill="1" applyBorder="1" applyAlignment="1">
      <alignment horizontal="center"/>
    </xf>
    <xf numFmtId="174" fontId="27" fillId="72" borderId="32" xfId="0" applyNumberFormat="1" applyFont="1" applyFill="1" applyBorder="1"/>
    <xf numFmtId="174" fontId="27" fillId="72" borderId="34" xfId="0" applyNumberFormat="1" applyFont="1" applyFill="1" applyBorder="1"/>
    <xf numFmtId="0" fontId="160" fillId="0" borderId="0" xfId="0" applyFont="1" applyFill="1" applyBorder="1"/>
    <xf numFmtId="0" fontId="160" fillId="0" borderId="0" xfId="0" applyFont="1" applyFill="1" applyBorder="1" applyAlignment="1">
      <alignment horizontal="center"/>
    </xf>
    <xf numFmtId="167" fontId="19" fillId="0" borderId="18" xfId="0" applyNumberFormat="1" applyFont="1" applyFill="1" applyBorder="1" applyAlignment="1">
      <alignment horizontal="center"/>
    </xf>
    <xf numFmtId="2" fontId="27" fillId="72" borderId="26" xfId="0" applyNumberFormat="1" applyFont="1" applyFill="1" applyBorder="1" applyAlignment="1">
      <alignment horizontal="center"/>
    </xf>
    <xf numFmtId="174" fontId="27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2" fillId="0" borderId="76" xfId="0" applyNumberFormat="1" applyFont="1" applyFill="1" applyBorder="1"/>
    <xf numFmtId="167" fontId="27" fillId="0" borderId="86" xfId="0" applyNumberFormat="1" applyFont="1" applyFill="1" applyBorder="1"/>
    <xf numFmtId="167" fontId="27" fillId="0" borderId="54" xfId="0" applyNumberFormat="1" applyFont="1" applyFill="1" applyBorder="1"/>
    <xf numFmtId="167" fontId="27" fillId="0" borderId="59" xfId="0" applyNumberFormat="1" applyFont="1" applyFill="1" applyBorder="1"/>
    <xf numFmtId="167" fontId="27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2" fillId="0" borderId="0" xfId="2133" applyFont="1" applyBorder="1" applyProtection="1">
      <protection locked="0"/>
    </xf>
    <xf numFmtId="0" fontId="163" fillId="0" borderId="0" xfId="2133" applyFont="1" applyBorder="1" applyProtection="1">
      <protection locked="0"/>
    </xf>
    <xf numFmtId="0" fontId="163" fillId="0" borderId="0" xfId="2133" applyFont="1" applyBorder="1" applyAlignment="1" applyProtection="1">
      <alignment horizontal="center"/>
    </xf>
    <xf numFmtId="0" fontId="163" fillId="0" borderId="0" xfId="2133" applyFont="1" applyBorder="1" applyProtection="1"/>
    <xf numFmtId="0" fontId="163" fillId="0" borderId="21" xfId="2133" applyFont="1" applyBorder="1" applyProtection="1"/>
    <xf numFmtId="0" fontId="164" fillId="0" borderId="0" xfId="2133" applyFont="1" applyFill="1" applyAlignment="1" applyProtection="1"/>
    <xf numFmtId="174" fontId="165" fillId="0" borderId="0" xfId="2133" applyNumberFormat="1" applyFont="1" applyFill="1" applyBorder="1" applyAlignment="1" applyProtection="1">
      <alignment horizontal="center"/>
    </xf>
    <xf numFmtId="0" fontId="2" fillId="0" borderId="0" xfId="2133"/>
    <xf numFmtId="0" fontId="166" fillId="0" borderId="0" xfId="2133" applyFont="1" applyBorder="1" applyAlignment="1" applyProtection="1">
      <alignment wrapText="1"/>
      <protection locked="0"/>
    </xf>
    <xf numFmtId="0" fontId="167" fillId="0" borderId="0" xfId="2133" applyFont="1" applyBorder="1" applyAlignment="1" applyProtection="1">
      <alignment wrapText="1"/>
      <protection locked="0"/>
    </xf>
    <xf numFmtId="0" fontId="167" fillId="0" borderId="35" xfId="2133" applyFont="1" applyBorder="1" applyAlignment="1" applyProtection="1">
      <alignment horizontal="center" vertical="center" wrapText="1"/>
    </xf>
    <xf numFmtId="0" fontId="167" fillId="0" borderId="36" xfId="2133" applyFont="1" applyBorder="1" applyAlignment="1" applyProtection="1">
      <alignment horizontal="center" vertical="center" wrapText="1"/>
    </xf>
    <xf numFmtId="0" fontId="167" fillId="0" borderId="48" xfId="2133" applyFont="1" applyBorder="1" applyAlignment="1" applyProtection="1">
      <alignment horizontal="center" vertical="center" wrapText="1"/>
    </xf>
    <xf numFmtId="168" fontId="168" fillId="0" borderId="36" xfId="2133" applyNumberFormat="1" applyFont="1" applyFill="1" applyBorder="1" applyAlignment="1" applyProtection="1">
      <alignment vertical="center"/>
    </xf>
    <xf numFmtId="0" fontId="168" fillId="0" borderId="35" xfId="2133" applyFont="1" applyFill="1" applyBorder="1" applyAlignment="1" applyProtection="1">
      <alignment horizontal="center"/>
      <protection locked="0"/>
    </xf>
    <xf numFmtId="0" fontId="167" fillId="0" borderId="0" xfId="2133" applyFont="1" applyBorder="1" applyAlignment="1" applyProtection="1">
      <alignment wrapText="1"/>
    </xf>
    <xf numFmtId="0" fontId="147" fillId="0" borderId="0" xfId="2133" applyFont="1" applyFill="1" applyAlignment="1" applyProtection="1">
      <alignment horizontal="center"/>
    </xf>
    <xf numFmtId="0" fontId="147" fillId="0" borderId="0" xfId="2133" applyFont="1" applyFill="1" applyProtection="1"/>
    <xf numFmtId="0" fontId="167" fillId="0" borderId="15" xfId="2133" applyFont="1" applyBorder="1" applyAlignment="1" applyProtection="1">
      <alignment horizontal="center" vertical="center" wrapText="1"/>
    </xf>
    <xf numFmtId="0" fontId="167" fillId="0" borderId="0" xfId="2133" applyFont="1" applyBorder="1" applyAlignment="1" applyProtection="1">
      <alignment horizontal="center" vertical="center" wrapText="1"/>
    </xf>
    <xf numFmtId="0" fontId="167" fillId="0" borderId="49" xfId="2133" applyFont="1" applyBorder="1" applyAlignment="1" applyProtection="1">
      <alignment horizontal="center" vertical="center" wrapText="1"/>
    </xf>
    <xf numFmtId="0" fontId="167" fillId="0" borderId="21" xfId="2133" applyFont="1" applyBorder="1" applyAlignment="1" applyProtection="1">
      <alignment horizontal="center" vertical="center" wrapText="1"/>
    </xf>
    <xf numFmtId="0" fontId="169" fillId="0" borderId="0" xfId="2133" applyFont="1" applyFill="1" applyBorder="1" applyAlignment="1" applyProtection="1">
      <alignment horizontal="center"/>
      <protection locked="0"/>
    </xf>
    <xf numFmtId="0" fontId="170" fillId="0" borderId="0" xfId="2133" applyFont="1" applyFill="1" applyBorder="1" applyAlignment="1" applyProtection="1">
      <alignment horizontal="center"/>
      <protection locked="0"/>
    </xf>
    <xf numFmtId="205" fontId="171" fillId="0" borderId="86" xfId="2133" applyNumberFormat="1" applyFont="1" applyFill="1" applyBorder="1" applyAlignment="1" applyProtection="1">
      <alignment horizontal="center"/>
    </xf>
    <xf numFmtId="0" fontId="2" fillId="0" borderId="40" xfId="2133" applyFill="1" applyBorder="1" applyAlignment="1" applyProtection="1">
      <alignment horizontal="center"/>
    </xf>
    <xf numFmtId="0" fontId="172" fillId="0" borderId="40" xfId="2133" applyFont="1" applyFill="1" applyBorder="1" applyAlignment="1" applyProtection="1">
      <alignment horizontal="center"/>
    </xf>
    <xf numFmtId="0" fontId="163" fillId="0" borderId="40" xfId="2133" applyFont="1" applyBorder="1" applyAlignment="1" applyProtection="1">
      <alignment horizontal="center"/>
    </xf>
    <xf numFmtId="0" fontId="172" fillId="0" borderId="54" xfId="2133" applyFont="1" applyFill="1" applyBorder="1" applyAlignment="1" applyProtection="1">
      <alignment horizontal="center"/>
    </xf>
    <xf numFmtId="175" fontId="171" fillId="69" borderId="18" xfId="2133" applyNumberFormat="1" applyFont="1" applyFill="1" applyBorder="1" applyAlignment="1" applyProtection="1">
      <alignment horizontal="center"/>
    </xf>
    <xf numFmtId="175" fontId="163" fillId="0" borderId="18" xfId="2133" applyNumberFormat="1" applyFont="1" applyFill="1" applyBorder="1" applyAlignment="1" applyProtection="1">
      <alignment horizontal="center"/>
    </xf>
    <xf numFmtId="175" fontId="2" fillId="0" borderId="0" xfId="2133" applyNumberFormat="1" applyFont="1" applyFill="1" applyBorder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/>
    </xf>
    <xf numFmtId="175" fontId="2" fillId="0" borderId="18" xfId="2133" applyNumberFormat="1" applyFont="1" applyFill="1" applyBorder="1" applyAlignment="1" applyProtection="1">
      <alignment horizontal="center"/>
    </xf>
    <xf numFmtId="175" fontId="142" fillId="69" borderId="18" xfId="2133" applyNumberFormat="1" applyFont="1" applyFill="1" applyBorder="1" applyAlignment="1" applyProtection="1">
      <alignment horizontal="center"/>
    </xf>
    <xf numFmtId="0" fontId="173" fillId="0" borderId="0" xfId="2133" applyFont="1" applyFill="1" applyAlignment="1" applyProtection="1">
      <alignment horizontal="center"/>
    </xf>
    <xf numFmtId="206" fontId="174" fillId="0" borderId="0" xfId="2133" applyNumberFormat="1" applyFont="1" applyFill="1" applyAlignment="1" applyProtection="1">
      <alignment horizontal="center"/>
    </xf>
    <xf numFmtId="175" fontId="174" fillId="0" borderId="0" xfId="2133" applyNumberFormat="1" applyFont="1" applyFill="1" applyAlignment="1" applyProtection="1">
      <alignment horizontal="center"/>
    </xf>
    <xf numFmtId="2" fontId="163" fillId="0" borderId="0" xfId="2133" applyNumberFormat="1" applyFont="1" applyBorder="1" applyAlignment="1" applyProtection="1">
      <alignment horizontal="center" vertical="center"/>
    </xf>
    <xf numFmtId="206" fontId="168" fillId="0" borderId="0" xfId="2133" applyNumberFormat="1" applyFont="1" applyFill="1" applyAlignment="1" applyProtection="1">
      <alignment horizontal="center"/>
    </xf>
    <xf numFmtId="2" fontId="2" fillId="0" borderId="0" xfId="2133" applyNumberFormat="1" applyProtection="1"/>
    <xf numFmtId="170" fontId="2" fillId="0" borderId="0" xfId="2133" applyNumberFormat="1" applyBorder="1" applyProtection="1"/>
    <xf numFmtId="207" fontId="171" fillId="0" borderId="59" xfId="2133" applyNumberFormat="1" applyFont="1" applyFill="1" applyBorder="1" applyAlignment="1" applyProtection="1">
      <alignment horizontal="center"/>
    </xf>
    <xf numFmtId="0" fontId="2" fillId="0" borderId="0" xfId="2133" applyFill="1" applyBorder="1" applyAlignment="1" applyProtection="1">
      <alignment horizontal="center"/>
    </xf>
    <xf numFmtId="0" fontId="172" fillId="0" borderId="0" xfId="2133" applyFont="1" applyFill="1" applyBorder="1" applyAlignment="1" applyProtection="1">
      <alignment horizontal="center"/>
    </xf>
    <xf numFmtId="168" fontId="163" fillId="0" borderId="0" xfId="2133" applyNumberFormat="1" applyFont="1" applyBorder="1" applyAlignment="1" applyProtection="1">
      <alignment horizontal="center"/>
    </xf>
    <xf numFmtId="0" fontId="172" fillId="0" borderId="74" xfId="2133" applyFont="1" applyFill="1" applyBorder="1" applyAlignment="1" applyProtection="1">
      <alignment horizontal="center"/>
    </xf>
    <xf numFmtId="175" fontId="171" fillId="69" borderId="73" xfId="2133" applyNumberFormat="1" applyFont="1" applyFill="1" applyBorder="1" applyAlignment="1" applyProtection="1">
      <alignment horizontal="center"/>
    </xf>
    <xf numFmtId="175" fontId="163" fillId="0" borderId="73" xfId="2133" applyNumberFormat="1" applyFont="1" applyFill="1" applyBorder="1" applyAlignment="1" applyProtection="1">
      <alignment horizontal="center"/>
    </xf>
    <xf numFmtId="1" fontId="163" fillId="0" borderId="0" xfId="2133" applyNumberFormat="1" applyFont="1" applyBorder="1" applyAlignment="1" applyProtection="1">
      <alignment horizontal="center"/>
    </xf>
    <xf numFmtId="175" fontId="2" fillId="0" borderId="73" xfId="2133" applyNumberFormat="1" applyFont="1" applyFill="1" applyBorder="1" applyAlignment="1" applyProtection="1">
      <alignment horizontal="center"/>
    </xf>
    <xf numFmtId="175" fontId="142" fillId="69" borderId="73" xfId="2133" applyNumberFormat="1" applyFont="1" applyFill="1" applyBorder="1" applyAlignment="1" applyProtection="1">
      <alignment horizontal="center"/>
    </xf>
    <xf numFmtId="205" fontId="174" fillId="0" borderId="0" xfId="2133" applyNumberFormat="1" applyFont="1" applyFill="1" applyAlignment="1" applyProtection="1">
      <alignment horizontal="center"/>
    </xf>
    <xf numFmtId="207" fontId="171" fillId="0" borderId="77" xfId="2133" applyNumberFormat="1" applyFont="1" applyFill="1" applyBorder="1" applyAlignment="1" applyProtection="1">
      <alignment horizontal="center"/>
    </xf>
    <xf numFmtId="0" fontId="2" fillId="0" borderId="75" xfId="2133" applyFill="1" applyBorder="1" applyAlignment="1" applyProtection="1">
      <alignment horizontal="center"/>
    </xf>
    <xf numFmtId="0" fontId="172" fillId="0" borderId="75" xfId="2133" applyFont="1" applyFill="1" applyBorder="1" applyAlignment="1" applyProtection="1">
      <alignment horizontal="center"/>
    </xf>
    <xf numFmtId="168" fontId="163" fillId="0" borderId="75" xfId="2133" applyNumberFormat="1" applyFont="1" applyBorder="1" applyAlignment="1" applyProtection="1">
      <alignment horizontal="center"/>
    </xf>
    <xf numFmtId="0" fontId="172" fillId="0" borderId="76" xfId="2133" applyFont="1" applyFill="1" applyBorder="1" applyAlignment="1" applyProtection="1">
      <alignment horizontal="center"/>
    </xf>
    <xf numFmtId="175" fontId="171" fillId="69" borderId="27" xfId="2133" applyNumberFormat="1" applyFont="1" applyFill="1" applyBorder="1" applyAlignment="1" applyProtection="1">
      <alignment horizontal="center"/>
    </xf>
    <xf numFmtId="175" fontId="163" fillId="0" borderId="27" xfId="2133" applyNumberFormat="1" applyFont="1" applyFill="1" applyBorder="1" applyAlignment="1" applyProtection="1">
      <alignment horizontal="center"/>
    </xf>
    <xf numFmtId="175" fontId="2" fillId="0" borderId="21" xfId="2133" applyNumberFormat="1" applyFont="1" applyFill="1" applyBorder="1" applyAlignment="1" applyProtection="1">
      <alignment horizontal="center"/>
    </xf>
    <xf numFmtId="2" fontId="163" fillId="0" borderId="21" xfId="2133" applyNumberFormat="1" applyFont="1" applyBorder="1" applyAlignment="1" applyProtection="1">
      <alignment horizontal="center"/>
    </xf>
    <xf numFmtId="1" fontId="163" fillId="0" borderId="21" xfId="2133" applyNumberFormat="1" applyFont="1" applyBorder="1" applyAlignment="1" applyProtection="1">
      <alignment horizontal="center"/>
    </xf>
    <xf numFmtId="175" fontId="2" fillId="0" borderId="27" xfId="2133" applyNumberFormat="1" applyFont="1" applyFill="1" applyBorder="1" applyAlignment="1" applyProtection="1">
      <alignment horizontal="center"/>
    </xf>
    <xf numFmtId="175" fontId="142" fillId="69" borderId="27" xfId="2133" applyNumberFormat="1" applyFont="1" applyFill="1" applyBorder="1" applyAlignment="1" applyProtection="1">
      <alignment horizontal="center"/>
    </xf>
    <xf numFmtId="205" fontId="171" fillId="0" borderId="0" xfId="2133" applyNumberFormat="1" applyFont="1" applyFill="1" applyBorder="1" applyAlignment="1" applyProtection="1">
      <alignment horizontal="center"/>
    </xf>
    <xf numFmtId="175" fontId="163" fillId="0" borderId="0" xfId="2133" applyNumberFormat="1" applyFont="1" applyBorder="1" applyAlignment="1" applyProtection="1">
      <alignment horizontal="center"/>
    </xf>
    <xf numFmtId="207" fontId="171" fillId="0" borderId="0" xfId="2133" applyNumberFormat="1" applyFont="1" applyFill="1" applyBorder="1" applyAlignment="1" applyProtection="1">
      <alignment horizontal="center"/>
    </xf>
    <xf numFmtId="167" fontId="71" fillId="72" borderId="0" xfId="0" applyNumberFormat="1" applyFont="1" applyFill="1" applyAlignment="1">
      <alignment horizontal="center"/>
    </xf>
    <xf numFmtId="0" fontId="151" fillId="0" borderId="0" xfId="0" applyFont="1" applyFill="1" applyAlignment="1">
      <alignment horizontal="right"/>
    </xf>
    <xf numFmtId="203" fontId="26" fillId="34" borderId="22" xfId="70" applyNumberFormat="1" applyFont="1" applyFill="1" applyBorder="1"/>
    <xf numFmtId="0" fontId="151" fillId="109" borderId="48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left"/>
    </xf>
    <xf numFmtId="0" fontId="151" fillId="109" borderId="49" xfId="0" applyFont="1" applyFill="1" applyBorder="1" applyAlignment="1">
      <alignment horizontal="right"/>
    </xf>
    <xf numFmtId="0" fontId="151" fillId="109" borderId="50" xfId="0" applyFont="1" applyFill="1" applyBorder="1" applyAlignment="1">
      <alignment horizontal="right"/>
    </xf>
    <xf numFmtId="0" fontId="152" fillId="109" borderId="47" xfId="0" applyFont="1" applyFill="1" applyBorder="1" applyAlignment="1">
      <alignment horizontal="center"/>
    </xf>
    <xf numFmtId="0" fontId="152" fillId="109" borderId="51" xfId="0" applyFont="1" applyFill="1" applyBorder="1" applyAlignment="1">
      <alignment horizontal="center"/>
    </xf>
    <xf numFmtId="0" fontId="152" fillId="109" borderId="41" xfId="0" applyFont="1" applyFill="1" applyBorder="1" applyAlignment="1">
      <alignment horizontal="center"/>
    </xf>
    <xf numFmtId="0" fontId="152" fillId="1" borderId="26" xfId="0" applyFont="1" applyFill="1" applyBorder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left"/>
    </xf>
    <xf numFmtId="0" fontId="151" fillId="0" borderId="86" xfId="0" applyFont="1" applyBorder="1" applyAlignment="1">
      <alignment horizontal="left"/>
    </xf>
    <xf numFmtId="0" fontId="151" fillId="0" borderId="59" xfId="0" applyFont="1" applyBorder="1" applyAlignment="1">
      <alignment horizontal="left"/>
    </xf>
    <xf numFmtId="0" fontId="151" fillId="0" borderId="77" xfId="0" applyFont="1" applyBorder="1" applyAlignment="1">
      <alignment horizontal="left"/>
    </xf>
    <xf numFmtId="0" fontId="151" fillId="0" borderId="86" xfId="0" applyFont="1" applyBorder="1"/>
    <xf numFmtId="0" fontId="151" fillId="0" borderId="54" xfId="0" applyFont="1" applyBorder="1"/>
    <xf numFmtId="0" fontId="151" fillId="0" borderId="59" xfId="0" applyFont="1" applyBorder="1"/>
    <xf numFmtId="0" fontId="151" fillId="0" borderId="74" xfId="0" applyFont="1" applyBorder="1"/>
    <xf numFmtId="0" fontId="151" fillId="0" borderId="77" xfId="0" applyFont="1" applyBorder="1"/>
    <xf numFmtId="0" fontId="151" fillId="0" borderId="76" xfId="0" applyFont="1" applyBorder="1"/>
    <xf numFmtId="15" fontId="151" fillId="0" borderId="18" xfId="0" applyNumberFormat="1" applyFont="1" applyFill="1" applyBorder="1" applyAlignment="1">
      <alignment horizontal="left"/>
    </xf>
    <xf numFmtId="15" fontId="151" fillId="0" borderId="73" xfId="0" applyNumberFormat="1" applyFont="1" applyFill="1" applyBorder="1" applyAlignment="1">
      <alignment horizontal="left"/>
    </xf>
    <xf numFmtId="15" fontId="151" fillId="0" borderId="27" xfId="0" applyNumberFormat="1" applyFont="1" applyFill="1" applyBorder="1" applyAlignment="1">
      <alignment horizontal="right"/>
    </xf>
    <xf numFmtId="188" fontId="24" fillId="72" borderId="0" xfId="0" applyNumberFormat="1" applyFont="1" applyFill="1" applyAlignment="1">
      <alignment horizontal="center"/>
    </xf>
    <xf numFmtId="0" fontId="121" fillId="0" borderId="0" xfId="55963" applyFont="1" applyAlignment="1">
      <alignment horizontal="left"/>
    </xf>
    <xf numFmtId="0" fontId="122" fillId="0" borderId="0" xfId="55963" applyFont="1" applyAlignment="1">
      <alignment horizontal="left"/>
    </xf>
    <xf numFmtId="0" fontId="121" fillId="0" borderId="0" xfId="55963" applyFont="1" applyFill="1" applyAlignment="1">
      <alignment horizontal="left"/>
    </xf>
    <xf numFmtId="0" fontId="124" fillId="43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0" fontId="124" fillId="0" borderId="0" xfId="55963" applyFont="1" applyFill="1" applyBorder="1" applyAlignment="1">
      <alignment horizontal="left"/>
    </xf>
    <xf numFmtId="0" fontId="122" fillId="0" borderId="0" xfId="55963" applyFont="1" applyBorder="1" applyAlignment="1">
      <alignment horizontal="left"/>
    </xf>
    <xf numFmtId="14" fontId="121" fillId="0" borderId="0" xfId="55963" applyNumberFormat="1" applyFont="1" applyAlignment="1">
      <alignment horizontal="left"/>
    </xf>
    <xf numFmtId="0" fontId="121" fillId="67" borderId="0" xfId="55963" applyFont="1" applyFill="1" applyBorder="1" applyAlignment="1">
      <alignment horizontal="left"/>
    </xf>
    <xf numFmtId="0" fontId="120" fillId="0" borderId="0" xfId="55963" applyFont="1" applyAlignment="1">
      <alignment horizontal="left"/>
    </xf>
    <xf numFmtId="0" fontId="120" fillId="0" borderId="0" xfId="55963" applyFont="1"/>
    <xf numFmtId="0" fontId="117" fillId="0" borderId="0" xfId="55963" applyFont="1" applyAlignment="1">
      <alignment horizontal="left"/>
    </xf>
    <xf numFmtId="0" fontId="123" fillId="43" borderId="0" xfId="55963" applyFont="1" applyFill="1" applyAlignment="1">
      <alignment horizontal="left"/>
    </xf>
    <xf numFmtId="0" fontId="121" fillId="64" borderId="0" xfId="55963" applyFont="1" applyFill="1" applyBorder="1" applyAlignment="1">
      <alignment horizontal="left"/>
    </xf>
    <xf numFmtId="14" fontId="121" fillId="0" borderId="0" xfId="55963" applyNumberFormat="1" applyFont="1" applyFill="1" applyAlignment="1">
      <alignment horizontal="left"/>
    </xf>
    <xf numFmtId="0" fontId="118" fillId="0" borderId="0" xfId="55963" applyFont="1"/>
    <xf numFmtId="0" fontId="120" fillId="0" borderId="0" xfId="55963" applyFont="1" applyFill="1" applyAlignment="1">
      <alignment horizontal="left"/>
    </xf>
    <xf numFmtId="0" fontId="117" fillId="0" borderId="0" xfId="55963" applyFont="1" applyFill="1" applyAlignment="1">
      <alignment horizontal="left"/>
    </xf>
    <xf numFmtId="0" fontId="125" fillId="0" borderId="0" xfId="55963" applyFont="1" applyAlignment="1">
      <alignment horizontal="left"/>
    </xf>
    <xf numFmtId="0" fontId="121" fillId="0" borderId="0" xfId="55963" applyFont="1" applyAlignment="1">
      <alignment vertical="center"/>
    </xf>
    <xf numFmtId="0" fontId="121" fillId="29" borderId="0" xfId="55963" applyFont="1" applyFill="1" applyAlignment="1">
      <alignment horizontal="left"/>
    </xf>
    <xf numFmtId="0" fontId="121" fillId="51" borderId="0" xfId="55963" applyFont="1" applyFill="1" applyAlignment="1">
      <alignment horizontal="left"/>
    </xf>
    <xf numFmtId="14" fontId="121" fillId="51" borderId="0" xfId="55963" applyNumberFormat="1" applyFont="1" applyFill="1" applyAlignment="1">
      <alignment horizontal="left"/>
    </xf>
    <xf numFmtId="173" fontId="125" fillId="37" borderId="28" xfId="811" applyNumberFormat="1" applyFont="1" applyFill="1" applyBorder="1" applyAlignment="1" applyProtection="1">
      <alignment horizontal="right"/>
      <protection locked="0"/>
    </xf>
    <xf numFmtId="173" fontId="125" fillId="37" borderId="28" xfId="597" applyNumberFormat="1" applyFont="1" applyFill="1" applyBorder="1" applyAlignment="1" applyProtection="1">
      <alignment horizontal="left"/>
      <protection locked="0"/>
    </xf>
    <xf numFmtId="0" fontId="125" fillId="69" borderId="0" xfId="928" applyFont="1" applyFill="1" applyBorder="1" applyProtection="1">
      <protection locked="0"/>
    </xf>
    <xf numFmtId="14" fontId="121" fillId="29" borderId="0" xfId="55963" applyNumberFormat="1" applyFont="1" applyFill="1" applyAlignment="1">
      <alignment horizontal="left"/>
    </xf>
    <xf numFmtId="0" fontId="125" fillId="0" borderId="0" xfId="359" applyFont="1" applyAlignment="1" applyProtection="1">
      <alignment horizontal="left"/>
    </xf>
    <xf numFmtId="0" fontId="125" fillId="51" borderId="0" xfId="911" applyNumberFormat="1" applyFont="1" applyFill="1" applyBorder="1" applyAlignment="1" applyProtection="1">
      <alignment horizontal="left"/>
      <protection locked="0"/>
    </xf>
    <xf numFmtId="0" fontId="125" fillId="0" borderId="0" xfId="666" applyNumberFormat="1" applyFont="1" applyFill="1" applyBorder="1" applyAlignment="1" applyProtection="1">
      <alignment horizontal="left"/>
      <protection locked="0"/>
    </xf>
    <xf numFmtId="0" fontId="144" fillId="0" borderId="0" xfId="55963" applyFont="1"/>
    <xf numFmtId="0" fontId="118" fillId="0" borderId="0" xfId="55963" applyFont="1" applyFill="1"/>
    <xf numFmtId="173" fontId="23" fillId="37" borderId="28" xfId="410" applyNumberFormat="1" applyFont="1" applyFill="1" applyBorder="1" applyAlignment="1" applyProtection="1">
      <alignment horizontal="right"/>
      <protection locked="0"/>
    </xf>
    <xf numFmtId="173" fontId="23" fillId="37" borderId="28" xfId="461" applyNumberFormat="1" applyFont="1" applyFill="1" applyBorder="1" applyAlignment="1" applyProtection="1">
      <alignment horizontal="right"/>
      <protection locked="0"/>
    </xf>
    <xf numFmtId="173" fontId="23" fillId="37" borderId="28" xfId="428" applyNumberFormat="1" applyFont="1" applyFill="1" applyBorder="1" applyAlignment="1" applyProtection="1">
      <alignment horizontal="right"/>
      <protection locked="0"/>
    </xf>
    <xf numFmtId="173" fontId="23" fillId="37" borderId="28" xfId="439" applyNumberFormat="1" applyFont="1" applyFill="1" applyBorder="1" applyAlignment="1" applyProtection="1">
      <alignment horizontal="right"/>
      <protection locked="0"/>
    </xf>
    <xf numFmtId="0" fontId="23" fillId="51" borderId="0" xfId="399" applyNumberFormat="1" applyFont="1" applyFill="1" applyBorder="1" applyAlignment="1" applyProtection="1">
      <protection locked="0"/>
    </xf>
    <xf numFmtId="49" fontId="117" fillId="0" borderId="0" xfId="55963" applyNumberFormat="1" applyFont="1" applyFill="1" applyBorder="1" applyAlignment="1" applyProtection="1"/>
    <xf numFmtId="173" fontId="23" fillId="37" borderId="0" xfId="557" applyNumberFormat="1" applyFont="1" applyFill="1" applyBorder="1" applyAlignment="1" applyProtection="1">
      <alignment horizontal="right"/>
      <protection locked="0"/>
    </xf>
    <xf numFmtId="173" fontId="19" fillId="37" borderId="28" xfId="606" applyNumberFormat="1" applyFont="1" applyFill="1" applyBorder="1" applyAlignment="1" applyProtection="1">
      <alignment horizontal="right" vertical="center"/>
      <protection locked="0"/>
    </xf>
    <xf numFmtId="173" fontId="19" fillId="37" borderId="28" xfId="633" applyNumberFormat="1" applyFont="1" applyFill="1" applyBorder="1" applyAlignment="1" applyProtection="1">
      <alignment horizontal="right"/>
      <protection locked="0"/>
    </xf>
    <xf numFmtId="0" fontId="19" fillId="37" borderId="28" xfId="633" applyNumberFormat="1" applyFont="1" applyFill="1" applyBorder="1" applyAlignment="1" applyProtection="1">
      <alignment horizontal="right"/>
      <protection locked="0"/>
    </xf>
    <xf numFmtId="173" fontId="19" fillId="37" borderId="28" xfId="633" applyNumberFormat="1" applyFont="1" applyFill="1" applyBorder="1" applyAlignment="1" applyProtection="1">
      <alignment horizontal="right" vertical="center"/>
      <protection locked="0"/>
    </xf>
    <xf numFmtId="173" fontId="19" fillId="37" borderId="28" xfId="635" applyNumberFormat="1" applyFont="1" applyFill="1" applyBorder="1" applyAlignment="1" applyProtection="1">
      <alignment horizontal="right"/>
      <protection locked="0"/>
    </xf>
    <xf numFmtId="173" fontId="19" fillId="37" borderId="28" xfId="637" applyNumberFormat="1" applyFont="1" applyFill="1" applyBorder="1" applyAlignment="1" applyProtection="1">
      <alignment horizontal="right" vertical="center"/>
      <protection locked="0"/>
    </xf>
    <xf numFmtId="173" fontId="19" fillId="37" borderId="28" xfId="639" applyNumberFormat="1" applyFont="1" applyFill="1" applyBorder="1" applyAlignment="1" applyProtection="1">
      <alignment horizontal="right"/>
      <protection locked="0"/>
    </xf>
    <xf numFmtId="0" fontId="19" fillId="37" borderId="28" xfId="639" applyNumberFormat="1" applyFont="1" applyFill="1" applyBorder="1" applyAlignment="1" applyProtection="1">
      <alignment horizontal="right"/>
      <protection locked="0"/>
    </xf>
    <xf numFmtId="173" fontId="19" fillId="37" borderId="28" xfId="639" applyNumberFormat="1" applyFont="1" applyFill="1" applyBorder="1" applyAlignment="1" applyProtection="1">
      <alignment horizontal="right" vertical="center"/>
      <protection locked="0"/>
    </xf>
    <xf numFmtId="173" fontId="19" fillId="37" borderId="28" xfId="641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/>
      <protection locked="0"/>
    </xf>
    <xf numFmtId="0" fontId="19" fillId="37" borderId="28" xfId="643" applyNumberFormat="1" applyFont="1" applyFill="1" applyBorder="1" applyAlignment="1" applyProtection="1">
      <alignment horizontal="right"/>
      <protection locked="0"/>
    </xf>
    <xf numFmtId="173" fontId="19" fillId="37" borderId="28" xfId="643" applyNumberFormat="1" applyFont="1" applyFill="1" applyBorder="1" applyAlignment="1" applyProtection="1">
      <alignment horizontal="right" vertical="center"/>
      <protection locked="0"/>
    </xf>
    <xf numFmtId="173" fontId="19" fillId="37" borderId="28" xfId="647" applyNumberFormat="1" applyFont="1" applyFill="1" applyBorder="1" applyAlignment="1" applyProtection="1">
      <alignment horizontal="right"/>
      <protection locked="0"/>
    </xf>
    <xf numFmtId="173" fontId="19" fillId="37" borderId="28" xfId="651" applyNumberFormat="1" applyFont="1" applyFill="1" applyBorder="1" applyAlignment="1" applyProtection="1">
      <alignment horizontal="right"/>
      <protection locked="0"/>
    </xf>
    <xf numFmtId="173" fontId="19" fillId="37" borderId="28" xfId="736" applyNumberFormat="1" applyFont="1" applyFill="1" applyBorder="1" applyAlignment="1" applyProtection="1">
      <alignment horizontal="right"/>
      <protection locked="0"/>
    </xf>
    <xf numFmtId="173" fontId="19" fillId="37" borderId="28" xfId="712" applyNumberFormat="1" applyFont="1" applyFill="1" applyBorder="1" applyAlignment="1" applyProtection="1">
      <alignment horizontal="right" vertical="center"/>
      <protection locked="0"/>
    </xf>
    <xf numFmtId="0" fontId="19" fillId="37" borderId="28" xfId="730" applyNumberFormat="1" applyFont="1" applyFill="1" applyBorder="1" applyAlignment="1" applyProtection="1">
      <alignment horizontal="right"/>
      <protection locked="0"/>
    </xf>
    <xf numFmtId="173" fontId="19" fillId="37" borderId="28" xfId="730" applyNumberFormat="1" applyFont="1" applyFill="1" applyBorder="1" applyAlignment="1" applyProtection="1">
      <alignment horizontal="right" vertical="center"/>
      <protection locked="0"/>
    </xf>
    <xf numFmtId="173" fontId="19" fillId="37" borderId="28" xfId="715" applyNumberFormat="1" applyFont="1" applyFill="1" applyBorder="1" applyAlignment="1" applyProtection="1">
      <alignment horizontal="right"/>
      <protection locked="0"/>
    </xf>
    <xf numFmtId="173" fontId="19" fillId="37" borderId="28" xfId="738" applyNumberFormat="1" applyFont="1" applyFill="1" applyBorder="1" applyAlignment="1" applyProtection="1">
      <alignment horizontal="right" vertical="center"/>
      <protection locked="0"/>
    </xf>
    <xf numFmtId="173" fontId="19" fillId="37" borderId="28" xfId="711" applyNumberFormat="1" applyFont="1" applyFill="1" applyBorder="1" applyAlignment="1" applyProtection="1">
      <alignment horizontal="right"/>
      <protection locked="0"/>
    </xf>
    <xf numFmtId="0" fontId="19" fillId="37" borderId="28" xfId="711" applyNumberFormat="1" applyFont="1" applyFill="1" applyBorder="1" applyAlignment="1" applyProtection="1">
      <alignment horizontal="right"/>
      <protection locked="0"/>
    </xf>
    <xf numFmtId="173" fontId="19" fillId="37" borderId="28" xfId="711" applyNumberFormat="1" applyFont="1" applyFill="1" applyBorder="1" applyAlignment="1" applyProtection="1">
      <alignment horizontal="right" vertical="center"/>
      <protection locked="0"/>
    </xf>
    <xf numFmtId="173" fontId="19" fillId="37" borderId="28" xfId="732" applyNumberFormat="1" applyFont="1" applyFill="1" applyBorder="1" applyAlignment="1" applyProtection="1">
      <alignment horizontal="right"/>
      <protection locked="0"/>
    </xf>
    <xf numFmtId="173" fontId="19" fillId="37" borderId="28" xfId="713" applyNumberFormat="1" applyFont="1" applyFill="1" applyBorder="1" applyAlignment="1" applyProtection="1">
      <alignment horizontal="right"/>
      <protection locked="0"/>
    </xf>
    <xf numFmtId="173" fontId="19" fillId="37" borderId="28" xfId="729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/>
      <protection locked="0"/>
    </xf>
    <xf numFmtId="0" fontId="19" fillId="37" borderId="28" xfId="716" applyNumberFormat="1" applyFont="1" applyFill="1" applyBorder="1" applyAlignment="1" applyProtection="1">
      <alignment horizontal="right"/>
      <protection locked="0"/>
    </xf>
    <xf numFmtId="173" fontId="19" fillId="37" borderId="28" xfId="716" applyNumberFormat="1" applyFont="1" applyFill="1" applyBorder="1" applyAlignment="1" applyProtection="1">
      <alignment horizontal="right" vertical="center"/>
      <protection locked="0"/>
    </xf>
    <xf numFmtId="173" fontId="19" fillId="37" borderId="28" xfId="748" applyNumberFormat="1" applyFont="1" applyFill="1" applyBorder="1" applyAlignment="1" applyProtection="1">
      <alignment horizontal="right"/>
      <protection locked="0"/>
    </xf>
    <xf numFmtId="173" fontId="19" fillId="37" borderId="28" xfId="737" applyNumberFormat="1" applyFont="1" applyFill="1" applyBorder="1" applyAlignment="1" applyProtection="1">
      <alignment horizontal="right"/>
      <protection locked="0"/>
    </xf>
    <xf numFmtId="173" fontId="19" fillId="37" borderId="28" xfId="714" applyNumberFormat="1" applyFont="1" applyFill="1" applyBorder="1" applyAlignment="1" applyProtection="1">
      <alignment horizontal="right" vertical="center"/>
      <protection locked="0"/>
    </xf>
    <xf numFmtId="173" fontId="19" fillId="37" borderId="28" xfId="731" applyNumberFormat="1" applyFont="1" applyFill="1" applyBorder="1" applyAlignment="1" applyProtection="1">
      <alignment horizontal="right"/>
      <protection locked="0"/>
    </xf>
    <xf numFmtId="0" fontId="19" fillId="37" borderId="28" xfId="731" applyNumberFormat="1" applyFont="1" applyFill="1" applyBorder="1" applyAlignment="1" applyProtection="1">
      <alignment horizontal="right"/>
      <protection locked="0"/>
    </xf>
    <xf numFmtId="173" fontId="19" fillId="37" borderId="28" xfId="731" applyNumberFormat="1" applyFont="1" applyFill="1" applyBorder="1" applyAlignment="1" applyProtection="1">
      <alignment horizontal="right" vertical="center"/>
      <protection locked="0"/>
    </xf>
    <xf numFmtId="173" fontId="19" fillId="37" borderId="28" xfId="718" applyNumberFormat="1" applyFont="1" applyFill="1" applyBorder="1" applyAlignment="1" applyProtection="1">
      <alignment horizontal="right"/>
      <protection locked="0"/>
    </xf>
    <xf numFmtId="0" fontId="146" fillId="0" borderId="0" xfId="55963" applyFont="1"/>
    <xf numFmtId="167" fontId="24" fillId="121" borderId="0" xfId="0" applyNumberFormat="1" applyFont="1" applyFill="1"/>
    <xf numFmtId="167" fontId="71" fillId="122" borderId="0" xfId="0" applyNumberFormat="1" applyFont="1" applyFill="1"/>
    <xf numFmtId="167" fontId="24" fillId="122" borderId="0" xfId="0" applyNumberFormat="1" applyFont="1" applyFill="1"/>
    <xf numFmtId="0" fontId="22" fillId="117" borderId="27" xfId="0" applyFont="1" applyFill="1" applyBorder="1" applyAlignment="1">
      <alignment horizontal="center" vertical="top"/>
    </xf>
    <xf numFmtId="167" fontId="20" fillId="29" borderId="52" xfId="0" applyNumberFormat="1" applyFont="1" applyFill="1" applyBorder="1" applyAlignment="1">
      <alignment horizontal="left"/>
    </xf>
    <xf numFmtId="0" fontId="23" fillId="0" borderId="37" xfId="0" applyFont="1" applyFill="1" applyBorder="1" applyAlignment="1">
      <alignment horizontal="center"/>
    </xf>
    <xf numFmtId="170" fontId="71" fillId="0" borderId="52" xfId="0" applyNumberFormat="1" applyFont="1" applyFill="1" applyBorder="1" applyAlignment="1">
      <alignment horizontal="center"/>
    </xf>
    <xf numFmtId="0" fontId="23" fillId="0" borderId="39" xfId="0" applyFont="1" applyFill="1" applyBorder="1"/>
    <xf numFmtId="167" fontId="20" fillId="29" borderId="74" xfId="0" applyNumberFormat="1" applyFont="1" applyFill="1" applyBorder="1" applyAlignment="1">
      <alignment horizontal="left"/>
    </xf>
    <xf numFmtId="167" fontId="20" fillId="0" borderId="97" xfId="0" applyNumberFormat="1" applyFont="1" applyBorder="1" applyAlignment="1">
      <alignment horizontal="left"/>
    </xf>
    <xf numFmtId="167" fontId="20" fillId="0" borderId="35" xfId="0" applyNumberFormat="1" applyFont="1" applyBorder="1" applyAlignment="1">
      <alignment horizontal="center"/>
    </xf>
    <xf numFmtId="167" fontId="20" fillId="0" borderId="15" xfId="0" applyNumberFormat="1" applyFont="1" applyBorder="1" applyAlignment="1">
      <alignment horizontal="center"/>
    </xf>
    <xf numFmtId="167" fontId="20" fillId="29" borderId="38" xfId="0" applyNumberFormat="1" applyFont="1" applyFill="1" applyBorder="1" applyAlignment="1">
      <alignment horizontal="center"/>
    </xf>
    <xf numFmtId="0" fontId="20" fillId="29" borderId="21" xfId="0" applyFont="1" applyFill="1" applyBorder="1" applyAlignment="1">
      <alignment horizontal="left"/>
    </xf>
    <xf numFmtId="167" fontId="20" fillId="29" borderId="39" xfId="0" applyNumberFormat="1" applyFont="1" applyFill="1" applyBorder="1" applyAlignment="1">
      <alignment horizontal="left"/>
    </xf>
    <xf numFmtId="0" fontId="23" fillId="0" borderId="48" xfId="0" applyFont="1" applyFill="1" applyBorder="1"/>
    <xf numFmtId="0" fontId="71" fillId="0" borderId="50" xfId="0" applyFont="1" applyFill="1" applyBorder="1" applyAlignment="1">
      <alignment horizontal="center" vertical="center"/>
    </xf>
    <xf numFmtId="0" fontId="23" fillId="123" borderId="26" xfId="0" applyFont="1" applyFill="1" applyBorder="1"/>
    <xf numFmtId="0" fontId="24" fillId="0" borderId="24" xfId="0" applyFont="1" applyBorder="1" applyAlignment="1">
      <alignment horizontal="center"/>
    </xf>
    <xf numFmtId="167" fontId="148" fillId="108" borderId="24" xfId="1780" applyNumberFormat="1" applyFont="1" applyFill="1" applyBorder="1" applyAlignment="1" applyProtection="1">
      <alignment horizontal="center"/>
    </xf>
    <xf numFmtId="167" fontId="148" fillId="108" borderId="16" xfId="1780" applyNumberFormat="1" applyFont="1" applyFill="1" applyBorder="1" applyAlignment="1" applyProtection="1">
      <alignment horizontal="center"/>
    </xf>
    <xf numFmtId="0" fontId="148" fillId="108" borderId="24" xfId="1780" applyNumberFormat="1" applyFont="1" applyFill="1" applyBorder="1" applyAlignment="1" applyProtection="1">
      <alignment horizontal="center"/>
    </xf>
    <xf numFmtId="0" fontId="148" fillId="108" borderId="16" xfId="1780" applyNumberFormat="1" applyFont="1" applyFill="1" applyBorder="1" applyAlignment="1" applyProtection="1">
      <alignment horizontal="center"/>
    </xf>
    <xf numFmtId="193" fontId="126" fillId="0" borderId="77" xfId="1780" applyNumberFormat="1" applyFont="1" applyBorder="1" applyAlignment="1" applyProtection="1">
      <alignment horizontal="center"/>
    </xf>
    <xf numFmtId="193" fontId="126" fillId="0" borderId="76" xfId="1780" applyNumberFormat="1" applyFont="1" applyBorder="1" applyAlignment="1" applyProtection="1">
      <alignment horizontal="center"/>
    </xf>
    <xf numFmtId="0" fontId="107" fillId="52" borderId="0" xfId="0" applyFont="1" applyFill="1" applyAlignment="1">
      <alignment horizontal="center"/>
    </xf>
    <xf numFmtId="0" fontId="24" fillId="37" borderId="36" xfId="0" applyFont="1" applyFill="1" applyBorder="1" applyAlignment="1">
      <alignment horizontal="center"/>
    </xf>
    <xf numFmtId="174" fontId="27" fillId="72" borderId="24" xfId="0" applyNumberFormat="1" applyFont="1" applyFill="1" applyBorder="1" applyAlignment="1">
      <alignment horizontal="center"/>
    </xf>
    <xf numFmtId="174" fontId="27" fillId="72" borderId="16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</cellXfs>
  <cellStyles count="56104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6" xfId="603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1" xfId="728"/>
    <cellStyle name="input 142" xfId="723"/>
    <cellStyle name="input 143" xfId="752"/>
    <cellStyle name="input 144" xfId="751"/>
    <cellStyle name="input 145" xfId="750"/>
    <cellStyle name="input 146" xfId="753"/>
    <cellStyle name="input 147" xfId="754"/>
    <cellStyle name="input 148" xfId="755"/>
    <cellStyle name="input 149" xfId="756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1" xfId="795"/>
    <cellStyle name="input 152" xfId="779"/>
    <cellStyle name="input 153" xfId="792"/>
    <cellStyle name="input 154" xfId="830"/>
    <cellStyle name="input 155" xfId="794"/>
    <cellStyle name="input 156" xfId="780"/>
    <cellStyle name="input 157" xfId="793"/>
    <cellStyle name="input 158" xfId="836"/>
    <cellStyle name="input 159" xfId="83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1" xfId="842"/>
    <cellStyle name="input 162" xfId="844"/>
    <cellStyle name="input 163" xfId="846"/>
    <cellStyle name="input 164" xfId="848"/>
    <cellStyle name="input 165" xfId="850"/>
    <cellStyle name="input 166" xfId="852"/>
    <cellStyle name="input 167" xfId="854"/>
    <cellStyle name="input 168" xfId="856"/>
    <cellStyle name="input 169" xfId="858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1" xfId="862"/>
    <cellStyle name="input 172" xfId="864"/>
    <cellStyle name="input 173" xfId="866"/>
    <cellStyle name="input 174" xfId="868"/>
    <cellStyle name="input 175" xfId="870"/>
    <cellStyle name="input 176" xfId="872"/>
    <cellStyle name="input 177" xfId="874"/>
    <cellStyle name="input 178" xfId="875"/>
    <cellStyle name="input 179" xfId="876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1" xfId="878"/>
    <cellStyle name="input 182" xfId="879"/>
    <cellStyle name="input 183" xfId="880"/>
    <cellStyle name="input 184" xfId="881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1" xfId="618"/>
    <cellStyle name="Normal 111 2" xfId="2081"/>
    <cellStyle name="Normal 111 3" xfId="56017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6" xfId="628"/>
    <cellStyle name="Normal 116 2" xfId="1907"/>
    <cellStyle name="Normal 116 3" xfId="55990"/>
    <cellStyle name="Normal 117" xfId="614"/>
    <cellStyle name="Normal 117 2" xfId="2131"/>
    <cellStyle name="Normal 117 3" xfId="56023"/>
    <cellStyle name="Normal 118" xfId="592"/>
    <cellStyle name="Normal 118 2" xfId="2132"/>
    <cellStyle name="Normal 118 3" xfId="56024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63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95</v>
        <stp/>
        <stp>##V3_BDPV12</stp>
        <stp>IT0005311508 Corp</stp>
        <stp>FLT_SPREAD</stp>
        <stp>[NEW BONDS ASW_VINCE2018NIKO.XLSM]CCT!R15C5</stp>
        <tr r="E15" s="44"/>
      </tp>
    </main>
    <main first="bloomberg.rtd">
      <tp>
        <v>110</v>
        <stp/>
        <stp>##V3_BDPV12</stp>
        <stp>IT0005252520 Corp</stp>
        <stp>FLT_SPREAD</stp>
        <stp>[NEW BONDS ASW_VINCE2018NIKO.XLSM]CCT!R14C5</stp>
        <tr r="E14" s="44"/>
      </tp>
    </main>
    <main first="pldatasource.rtgetrtdserver">
      <tp t="s">
        <v>#N/A The record could not be found</v>
        <stp/>
        <stp>_x0001_=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4" s="1"/>
        <tr r="S277" s="1"/>
        <tr r="S280" s="1"/>
        <tr r="S269" s="1"/>
        <tr r="S255" s="1"/>
        <tr r="S304" s="1"/>
        <tr r="S265" s="1"/>
        <tr r="S264" s="1"/>
        <tr r="S270" s="1"/>
        <tr r="S297" s="1"/>
        <tr r="S258" s="1"/>
        <tr r="S302" s="1"/>
        <tr r="S293" s="1"/>
        <tr r="S272" s="1"/>
        <tr r="S294" s="1"/>
        <tr r="S283" s="1"/>
        <tr r="S290" s="1"/>
        <tr r="S281" s="1"/>
        <tr r="S275" s="1"/>
        <tr r="S285" s="1"/>
        <tr r="S287" s="1"/>
        <tr r="S252" s="1"/>
        <tr r="S267" s="1"/>
        <tr r="S276" s="1"/>
        <tr r="S301" s="1"/>
        <tr r="S309" s="1"/>
        <tr r="S291" s="1"/>
        <tr r="S259" s="1"/>
        <tr r="S261" s="1"/>
        <tr r="S260" s="1"/>
        <tr r="S263" s="1"/>
        <tr r="S273" s="1"/>
        <tr r="S307" s="1"/>
        <tr r="S284" s="1"/>
        <tr r="S274" s="1"/>
        <tr r="S286" s="1"/>
        <tr r="S251" s="1"/>
        <tr r="S256" s="1"/>
        <tr r="S271" s="1"/>
        <tr r="S303" s="1"/>
        <tr r="S278" s="1"/>
        <tr r="S295" s="1"/>
        <tr r="S305" s="1"/>
        <tr r="S268" s="1"/>
        <tr r="S257" s="1"/>
        <tr r="S306" s="1"/>
        <tr r="S299" s="1"/>
        <tr r="S282" s="1"/>
        <tr r="S253" s="1"/>
        <tr r="S288" s="1"/>
        <tr r="S262" s="1"/>
        <tr r="S310" s="1"/>
        <tr r="S292" s="1"/>
        <tr r="S266" s="1"/>
        <tr r="S279" s="1"/>
        <tr r="S289" s="1"/>
        <tr r="S250" s="1"/>
        <tr r="S308" s="1"/>
        <tr r="S298" s="1"/>
        <tr r="S300" s="1"/>
        <tr r="S296" s="1"/>
      </tp>
      <tp>
        <v>43175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107.026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107.492</v>
        <stp/>
        <stp xml:space="preserve">	DE113549=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  <tp>
        <v>100.98</v>
        <stp/>
        <stp xml:space="preserve">	DE110469=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101.249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101.238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</tp>
    </main>
    <main first="bloomberg.rtd">
      <tp t="s">
        <v>3/19/2018</v>
        <stp/>
        <stp>##V3_BDPV12</stp>
        <stp>IT0005185456 Corp</stp>
        <stp>T_PLUS_1_SETTLE_DT</stp>
        <stp>[NEW BONDS ASW_VINCE2018NIKO.XLSM]CCT!R1C26</stp>
        <tr r="Z1" s="44"/>
      </tp>
    </main>
    <main first="pldatasource.rtgetrtdserver">
      <tp>
        <v>105.432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141.79599999999999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129.97300000000001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100.834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105.327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101.566</v>
        <stp/>
        <stp xml:space="preserve">	DE114168=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1" s="1"/>
      </tp>
    </main>
    <main first="bloomberg.rtd">
      <tp>
        <v>55</v>
        <stp/>
        <stp>##V3_BDPV12</stp>
        <stp>IT0005104473 Corp</stp>
        <stp>FLT_SPREAD</stp>
        <stp>[NEW BONDS ASW_VINCE2018NIKO.XLSM]CCT!R10C5</stp>
        <tr r="E10" s="44"/>
      </tp>
    </main>
    <main first="bloomberg.rtd">
      <tp>
        <v>70</v>
        <stp/>
        <stp>##V3_BDPV12</stp>
        <stp>IT0005185456 Corp</stp>
        <stp>FLT_SPREAD</stp>
        <stp>[NEW BONDS ASW_VINCE2018NIKO.XLSM]CCT!R12C5</stp>
        <tr r="E12" s="44"/>
      </tp>
    </main>
    <main first="bloomberg.rtd">
      <tp>
        <v>70</v>
        <stp/>
        <stp>##V3_BDPV12</stp>
        <stp>IT0005137614 Corp</stp>
        <stp>FLT_SPREAD</stp>
        <stp>[NEW BONDS ASW_VINCE2018NIKO.XLSM]CCT!R11C5</stp>
        <tr r="E11" s="44"/>
      </tp>
    </main>
    <main first="bloomberg.rtd">
      <tp>
        <v>-44.216675941498139</v>
        <stp/>
        <stp>##V3_BDPV12</stp>
        <stp>AR2578292 Govt</stp>
        <stp>YAS_ASW_SPREAD</stp>
        <stp>[NEW BONDS ASW_VINCE2018NIKO.XLSM]Bonds!R5C30</stp>
        <tr r="AD5" s="1"/>
      </tp>
      <tp>
        <v>-49.359014448369265</v>
        <stp/>
        <stp>##V3_BDPV12</stp>
        <stp>EJ5066257 Govt</stp>
        <stp>YAS_ASW_SPREAD</stp>
        <stp>[NEW BONDS ASW_VINCE2018NIKO.XLSM]Bonds!R5C37</stp>
        <tr r="AK5" s="1"/>
      </tp>
    </main>
    <main first="pldatasource.rtgetrtdserver">
      <tp>
        <v>145.15899999999999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99.987000000000009</v>
        <stp/>
        <stp xml:space="preserve">	DE110463=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  <tp>
        <v>109.789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100.48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101.232</v>
        <stp/>
        <stp xml:space="preserve">	DE114173=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6" s="1"/>
      </tp>
      <tp>
        <v>135.751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158.178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161.04900000000001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108.342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  <tp>
        <v>110.768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99.8</v>
        <stp/>
        <stp xml:space="preserve">	DE110242=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9" s="1"/>
      </tp>
      <tp>
        <v>101.929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</main>
    <main first="bloomberg.rtd">
      <tp>
        <v>75</v>
        <stp/>
        <stp>##V3_BDPV12</stp>
        <stp>IT0005218968 Corp</stp>
        <stp>FLT_SPREAD</stp>
        <stp>[NEW BONDS ASW_VINCE2018NIKO.XLSM]CCT!R13C5</stp>
        <tr r="E13" s="44"/>
      </tp>
    </main>
    <main first="pldatasource.rtgetrtdserver">
      <tp>
        <v>106.873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>
        <v>101.169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107.923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98.182000000000002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101.2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108.18600000000001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101.126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8" s="1"/>
      </tp>
      <tp>
        <v>107.809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  <tp>
        <v>96.677000000000007</v>
        <stp/>
        <stp xml:space="preserve">	DE110240=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6" s="1"/>
      </tp>
      <tp>
        <v>101.41200000000001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7" s="1"/>
      </tp>
      <tp>
        <v>151.49299999999999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103.554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0" s="1"/>
      </tp>
      <tp>
        <v>158.11799999999999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108.41800000000001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100.675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2" s="1"/>
      </tp>
      <tp>
        <v>101.89700000000001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100.95100000000001</v>
        <stp/>
        <stp xml:space="preserve">	DE114167=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100.15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172.899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148.751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108.68300000000001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100.492</v>
        <stp/>
        <stp xml:space="preserve">	DE110466=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9" s="1"/>
      </tp>
      <tp>
        <v>105.345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100.056</v>
        <stp/>
        <stp xml:space="preserve">	DE114166=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4" s="1"/>
      </tp>
      <tp>
        <v>100.62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</main>
    <main first="bloomberg.rtd">
      <tp>
        <v>-44.506647705754297</v>
        <stp/>
        <stp>##V3_BDPV12</stp>
        <stp>AL9975494 Govt</stp>
        <stp>YAS_ASW_SPREAD</stp>
        <stp>[NEW BONDS ASW_VINCE2018NIKO.XLSM]Bonds!R5C38</stp>
        <tr r="AL5" s="1"/>
      </tp>
    </main>
    <main first="pldatasource.rtgetrtdserver">
      <tp>
        <v>101.44800000000001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6" s="1"/>
      </tp>
      <tp>
        <v>108.98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8" s="1"/>
      </tp>
      <tp>
        <v>100.31100000000001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  <tp>
        <v>108.423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100.905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154.92500000000001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8" s="1"/>
      </tp>
      <tp>
        <v>163.422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112.006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100.15300000000001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5" s="1"/>
      </tp>
      <tp>
        <v>131.535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99.25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1" s="1"/>
      </tp>
      <tp>
        <v>101.10900000000001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</main>
    <main first="bloomberg.rtd">
      <tp t="s">
        <v>3/28/2018</v>
        <stp/>
        <stp>##V3_BDPV12</stp>
        <stp>IT0005175366 Corp</stp>
        <stp>Maturity</stp>
        <stp>[NEW BONDS ASW_VINCE2018NIKO.XLSM]CCT!R24C4</stp>
        <tr r="D24" s="44"/>
      </tp>
      <tp t="s">
        <v>3/1/2024</v>
        <stp/>
        <stp>##V3_BDPV12</stp>
        <stp>IT0004953417 Corp</stp>
        <stp>Maturity</stp>
        <stp>[NEW BONDS ASW_VINCE2018NIKO.XLSM]CCT!R37C4</stp>
        <tr r="D37" s="44"/>
      </tp>
      <tp t="s">
        <v>FRTR 2 1/4 05/25/24</v>
        <stp/>
        <stp>##V3_BDPV12</stp>
        <stp>FR0011619436 Corp</stp>
        <stp>security des</stp>
        <stp>[NEW BONDS ASW_VINCE2018NIKO.XLSM]Isin!R26C12</stp>
        <tr r="L26" s="41"/>
      </tp>
      <tp t="s">
        <v>3/1/2022</v>
        <stp/>
        <stp>##V3_BDPV12</stp>
        <stp>IT0004759673 Corp</stp>
        <stp>Maturity</stp>
        <stp>[NEW BONDS ASW_VINCE2018NIKO.XLSM]CCT!R32C4</stp>
        <tr r="D32" s="44"/>
      </tp>
      <tp t="s">
        <v>FRTR 4 10/25/38</v>
        <stp/>
        <stp>##V3_BDPV12</stp>
        <stp>FR0010371401 Corp</stp>
        <stp>security des</stp>
        <stp>[NEW BONDS ASW_VINCE2018NIKO.XLSM]Isin!R42C12</stp>
        <tr r="L42" s="41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</main>
    <main first="bloomberg.rtd">
      <tp t="s">
        <v>12/15/2022</v>
        <stp/>
        <stp>##V3_BDPV12</stp>
        <stp>IT0005137614 Corp</stp>
        <stp>Maturity</stp>
        <stp>[NEW BONDS ASW_VINCE2018NIKO.XLSM]CCT!R11C4</stp>
        <tr r="D11" s="44"/>
      </tp>
      <tp t="s">
        <v>12/1/2018</v>
        <stp/>
        <stp>##V3_BDPV12</stp>
        <stp>IT0004957574 Corp</stp>
        <stp>Maturity</stp>
        <stp>[NEW BONDS ASW_VINCE2018NIKO.XLSM]CCT!R27C4</stp>
        <tr r="D27" s="44"/>
      </tp>
      <tp t="s">
        <v>FRTR 2 1/2 10/25/20</v>
        <stp/>
        <stp>##V3_BDPV12</stp>
        <stp>FR0010949651 Corp</stp>
        <stp>security des</stp>
        <stp>[NEW BONDS ASW_VINCE2018NIKO.XLSM]Isin!R17C12</stp>
        <tr r="L17" s="41"/>
      </tp>
    </main>
    <main first="marketviewexcelplugin.mkvxp">
      <tp t="e">
        <v>#REF!</v>
        <stp/>
        <stp>0</stp>
        <stp>EUR.PRICING_MAIN.PXE.IT0005218968</stp>
        <stp>CurrentClosingPriceMid</stp>
        <tr r="X13" s="44"/>
      </tp>
    </main>
    <main first="bloomberg.rtd">
      <tp t="s">
        <v>FRTR 2 3/4 10/25/27</v>
        <stp/>
        <stp>##V3_BDPV12</stp>
        <stp>FR0011317783 Corp</stp>
        <stp>security des</stp>
        <stp>[NEW BONDS ASW_VINCE2018NIKO.XLSM]Isin!R35C12</stp>
        <tr r="L35" s="41"/>
      </tp>
      <tp t="s">
        <v>FRTR 1 05/25/27</v>
        <stp/>
        <stp>##V3_BDPV12</stp>
        <stp>FR0013250560 Corp</stp>
        <stp>security des</stp>
        <stp>[NEW BONDS ASW_VINCE2018NIKO.XLSM]Isin!R33C12</stp>
        <tr r="L33" s="41"/>
      </tp>
      <tp t="s">
        <v>FRTR 5 3/4 10/25/32</v>
        <stp/>
        <stp>##V3_BDPV12</stp>
        <stp>FR0000187635 Corp</stp>
        <stp>security des</stp>
        <stp>[NEW BONDS ASW_VINCE2018NIKO.XLSM]Isin!R39C12</stp>
        <tr r="L39" s="41"/>
      </tp>
      <tp t="s">
        <v>11/1/2022</v>
        <stp/>
        <stp>##V3_BDPV12</stp>
        <stp>IT0004848831 Corp</stp>
        <stp>Maturity</stp>
        <stp>[NEW BONDS ASW_VINCE2018NIKO.XLSM]CCT!R34C4</stp>
        <tr r="D34" s="44"/>
      </tp>
      <tp t="s">
        <v>10/15/2023</v>
        <stp/>
        <stp>##V3_BDPV12</stp>
        <stp>IT0005215246 Corp</stp>
        <stp>Maturity</stp>
        <stp>[NEW BONDS ASW_VINCE2018NIKO.XLSM]CCT!R36C4</stp>
        <tr r="D36" s="44"/>
      </tp>
      <tp t="s">
        <v>10/15/2024</v>
        <stp/>
        <stp>##V3_BDPV12</stp>
        <stp>IT0005252520 Corp</stp>
        <stp>Maturity</stp>
        <stp>[NEW BONDS ASW_VINCE2018NIKO.XLSM]CCT!R14C4</stp>
        <tr r="D14" s="44"/>
      </tp>
      <tp t="s">
        <v>8/1/2018</v>
        <stp/>
        <stp>##V3_BDPV12</stp>
        <stp>IT0004361041 Corp</stp>
        <stp>Maturity</stp>
        <stp>[NEW BONDS ASW_VINCE2018NIKO.XLSM]CCT!R26C4</stp>
        <tr r="D26" s="44"/>
      </tp>
      <tp t="s">
        <v>FRTR 4 1/2 04/25/41</v>
        <stp/>
        <stp>##V3_BDPV12</stp>
        <stp>FR0010773192 Corp</stp>
        <stp>security des</stp>
        <stp>[NEW BONDS ASW_VINCE2018NIKO.XLSM]Isin!R43C12</stp>
        <tr r="L43" s="41"/>
      </tp>
      <tp t="s">
        <v>FRTR 1 05/25/19</v>
        <stp/>
        <stp>##V3_BDPV12</stp>
        <stp>FR0011708080 Corp</stp>
        <stp>security des</stp>
        <stp>[NEW BONDS ASW_VINCE2018NIKO.XLSM]Isin!R11C12</stp>
        <tr r="L11" s="41"/>
      </tp>
      <tp t="s">
        <v>FRTR 3 1/4 10/25/21</v>
        <stp/>
        <stp>##V3_BDPV12</stp>
        <stp>FR0011059088 Corp</stp>
        <stp>security des</stp>
        <stp>[NEW BONDS ASW_VINCE2018NIKO.XLSM]Isin!R19C12</stp>
        <tr r="L19" s="41"/>
      </tp>
      <tp t="s">
        <v>FRTR 4 1/4 04/25/19</v>
        <stp/>
        <stp>##V3_BDPV12</stp>
        <stp>FR0000189151 Corp</stp>
        <stp>security des</stp>
        <stp>[NEW BONDS ASW_VINCE2018NIKO.XLSM]Isin!R10C12</stp>
        <tr r="L10" s="41"/>
      </tp>
      <tp t="s">
        <v>FRTR 3 1/4 05/25/45</v>
        <stp/>
        <stp>##V3_BDPV12</stp>
        <stp>FR0011461037 Corp</stp>
        <stp>security des</stp>
        <stp>[NEW BONDS ASW_VINCE2018NIKO.XLSM]Isin!R44C12</stp>
        <tr r="L44" s="41"/>
      </tp>
      <tp t="s">
        <v>FRTR 3 1/2 04/25/20</v>
        <stp/>
        <stp>##V3_BDPV12</stp>
        <stp>FR0010854182 Corp</stp>
        <stp>security des</stp>
        <stp>[NEW BONDS ASW_VINCE2018NIKO.XLSM]Isin!R15C12</stp>
        <tr r="L15" s="41"/>
      </tp>
      <tp t="s">
        <v>FRTR 6 10/25/25</v>
        <stp/>
        <stp>##V3_BDPV12</stp>
        <stp>FR0000571150 Corp</stp>
        <stp>security des</stp>
        <stp>[NEW BONDS ASW_VINCE2018NIKO.XLSM]Isin!R29C12</stp>
        <tr r="L29" s="41"/>
      </tp>
      <tp t="s">
        <v>FRTR 3 3/4 10/25/19</v>
        <stp/>
        <stp>##V3_BDPV12</stp>
        <stp>FR0010776161 Corp</stp>
        <stp>security des</stp>
        <stp>[NEW BONDS ASW_VINCE2018NIKO.XLSM]Isin!R12C12</stp>
        <tr r="L12" s="41"/>
      </tp>
      <tp t="s">
        <v>FRTR 1 3/4 05/25/23</v>
        <stp/>
        <stp>##V3_BDPV12</stp>
        <stp>FR0011486067 Corp</stp>
        <stp>security des</stp>
        <stp>[NEW BONDS ASW_VINCE2018NIKO.XLSM]Isin!R24C12</stp>
        <tr r="L24" s="41"/>
      </tp>
      <tp t="s">
        <v>9/1/2019</v>
        <stp/>
        <stp>##V3_BDPV12</stp>
        <stp>IT0004489610 Corp</stp>
        <stp>Maturity</stp>
        <stp>[NEW BONDS ASW_VINCE2018NIKO.XLSM]CCT!R28C4</stp>
        <tr r="D28" s="44"/>
      </tp>
      <tp t="s">
        <v>3/1/2021</v>
        <stp/>
        <stp>##V3_BDPV12</stp>
        <stp>IT0004634132 Corp</stp>
        <stp>Maturity</stp>
        <stp>[NEW BONDS ASW_VINCE2018NIKO.XLSM]CCT!R31C4</stp>
        <tr r="D31" s="44"/>
      </tp>
      <tp t="s">
        <v>3/1/2025</v>
        <stp/>
        <stp>##V3_BDPV12</stp>
        <stp>IT0004513641 Corp</stp>
        <stp>Maturity</stp>
        <stp>[NEW BONDS ASW_VINCE2018NIKO.XLSM]CCT!R40C4</stp>
        <tr r="D40" s="44"/>
      </tp>
      <tp t="s">
        <v>6/1/2025</v>
        <stp/>
        <stp>##V3_BDPV12</stp>
        <stp>IT0005090318 Corp</stp>
        <stp>Maturity</stp>
        <stp>[NEW BONDS ASW_VINCE2018NIKO.XLSM]CCT!R41C4</stp>
        <tr r="D41" s="44"/>
      </tp>
      <tp t="s">
        <v>FRTR 8 1/2 04/25/23</v>
        <stp/>
        <stp>##V3_BDPV12</stp>
        <stp>FR0000571085 Corp</stp>
        <stp>security des</stp>
        <stp>[NEW BONDS ASW_VINCE2018NIKO.XLSM]Isin!R23C12</stp>
        <tr r="L23" s="41"/>
      </tp>
      <tp t="s">
        <v>FRTR 0 1/2 11/25/19</v>
        <stp/>
        <stp>##V3_BDPV12</stp>
        <stp>FR0011993179 Corp</stp>
        <stp>security des</stp>
        <stp>[NEW BONDS ASW_VINCE2018NIKO.XLSM]Isin!R14C12</stp>
        <tr r="L14" s="41"/>
      </tp>
      <tp t="s">
        <v>FRTR 4 3/4 04/25/35</v>
        <stp/>
        <stp>##V3_BDPV12</stp>
        <stp>FR0010070060 Corp</stp>
        <stp>security des</stp>
        <stp>[NEW BONDS ASW_VINCE2018NIKO.XLSM]Isin!R40C12</stp>
        <tr r="L40" s="41"/>
      </tp>
      <tp t="s">
        <v>FRTR 8 1/4 04/25/22</v>
        <stp/>
        <stp>##V3_BDPV12</stp>
        <stp>FR0000571044 Corp</stp>
        <stp>security des</stp>
        <stp>[NEW BONDS ASW_VINCE2018NIKO.XLSM]Isin!R20C12</stp>
        <tr r="L20" s="41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 t="s">
        <v>6/15/2022</v>
        <stp/>
        <stp>##V3_BDPV12</stp>
        <stp>IT0005104473 Corp</stp>
        <stp>Maturity</stp>
        <stp>[NEW BONDS ASW_VINCE2018NIKO.XLSM]CCT!R10C4</stp>
        <tr r="D10" s="44"/>
      </tp>
      <tp t="s">
        <v>FRTR 1 11/25/25</v>
        <stp/>
        <stp>##V3_BDPV12</stp>
        <stp>FR0012938116 Corp</stp>
        <stp>security des</stp>
        <stp>[NEW BONDS ASW_VINCE2018NIKO.XLSM]Isin!R30C12</stp>
        <tr r="L30" s="41"/>
      </tp>
      <tp t="s">
        <v>FRTR 1 1/2 05/25/31</v>
        <stp/>
        <stp>##V3_BDPV12</stp>
        <stp>FR0012993103 Corp</stp>
        <stp>security des</stp>
        <stp>[NEW BONDS ASW_VINCE2018NIKO.XLSM]Isin!R38C12</stp>
        <tr r="L38" s="41"/>
      </tp>
      <tp t="s">
        <v>FRTR 1 1/4 05/25/36</v>
        <stp/>
        <stp>##V3_BDPV12</stp>
        <stp>FR0013154044 Corp</stp>
        <stp>security des</stp>
        <stp>[NEW BONDS ASW_VINCE2018NIKO.XLSM]Isin!R41C12</stp>
        <tr r="L41" s="41"/>
      </tp>
      <tp t="s">
        <v>FRTR 1 3/4 05/25/66</v>
        <stp/>
        <stp>##V3_BDPV12</stp>
        <stp>FR0013154028 Corp</stp>
        <stp>security des</stp>
        <stp>[NEW BONDS ASW_VINCE2018NIKO.XLSM]Isin!R47C12</stp>
        <tr r="L47" s="41"/>
      </tp>
      <tp t="s">
        <v>9/1/2022</v>
        <stp/>
        <stp>##V3_BDPV12</stp>
        <stp>IT0004801541 Corp</stp>
        <stp>Maturity</stp>
        <stp>[NEW BONDS ASW_VINCE2018NIKO.XLSM]CCT!R33C4</stp>
        <tr r="D33" s="44"/>
      </tp>
      <tp t="s">
        <v>FRTR 5 1/2 04/25/29</v>
        <stp/>
        <stp>##V3_BDPV12</stp>
        <stp>FR0000571218 Corp</stp>
        <stp>security des</stp>
        <stp>[NEW BONDS ASW_VINCE2018NIKO.XLSM]Isin!R36C12</stp>
        <tr r="L36" s="41"/>
      </tp>
      <tp t="s">
        <v>FRTR 0 1/2 05/25/25</v>
        <stp/>
        <stp>##V3_BDPV12</stp>
        <stp>FR0012517027 Corp</stp>
        <stp>security des</stp>
        <stp>[NEW BONDS ASW_VINCE2018NIKO.XLSM]Isin!R28C12</stp>
        <tr r="L28" s="41"/>
      </tp>
      <tp t="s">
        <v>FRTR 1 3/4 11/25/24</v>
        <stp/>
        <stp>##V3_BDPV12</stp>
        <stp>FR0011962398 Corp</stp>
        <stp>security des</stp>
        <stp>[NEW BONDS ASW_VINCE2018NIKO.XLSM]Isin!R27C12</stp>
        <tr r="L27" s="41"/>
      </tp>
      <tp t="s">
        <v>12/1/2024</v>
        <stp/>
        <stp>##V3_BDPV12</stp>
        <stp>IT0005045270 Corp</stp>
        <stp>Maturity</stp>
        <stp>[NEW BONDS ASW_VINCE2018NIKO.XLSM]CCT!R39C4</stp>
        <tr r="D39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  <tp t="e">
        <v>#REF!</v>
        <stp/>
        <stp>0</stp>
        <stp>EUR.CM_DEPTH.VMO_REPO.IT0005185456_SN_Fixed</stp>
        <stp>TrdValueAvg</stp>
        <tr r="M12" s="44"/>
      </tp>
      <tp t="e">
        <v>#REF!</v>
        <stp/>
        <stp>0</stp>
        <stp>EUR.CM_DEPTH.VMO_REPO.IT0005056541_SN_Fixed</stp>
        <stp>TrdValueAvg</stp>
        <tr r="M9" s="44"/>
      </tp>
    </main>
    <main first="bloomberg.rtd">
      <tp t="s">
        <v>5/15/2018</v>
        <stp/>
        <stp>##V3_BDPV12</stp>
        <stp>IT0005106049 Corp</stp>
        <stp>Maturity</stp>
        <stp>[NEW BONDS ASW_VINCE2018NIKO.XLSM]CCT!R25C4</stp>
        <tr r="D25" s="44"/>
      </tp>
      <tp t="s">
        <v>7/15/2023</v>
        <stp/>
        <stp>##V3_BDPV12</stp>
        <stp>IT0005185456 Corp</stp>
        <stp>Maturity</stp>
        <stp>[NEW BONDS ASW_VINCE2018NIKO.XLSM]CCT!R12C4</stp>
        <tr r="D12" s="44"/>
      </tp>
      <tp t="s">
        <v>4/15/2025</v>
        <stp/>
        <stp>##V3_BDPV12</stp>
        <stp>IT0005311508 Corp</stp>
        <stp>Maturity</stp>
        <stp>[NEW BONDS ASW_VINCE2018NIKO.XLSM]CCT!R15C4</stp>
        <tr r="D15" s="44"/>
      </tp>
    </main>
    <main first="marketviewexcelplugin.mkvxp"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 t="s">
        <v>9/1/2024</v>
        <stp/>
        <stp>##V3_BDPV12</stp>
        <stp>IT0005001547 Corp</stp>
        <stp>Maturity</stp>
        <stp>[NEW BONDS ASW_VINCE2018NIKO.XLSM]CCT!R38C4</stp>
        <tr r="D38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</main>
    <main first="bloomberg.rtd">
      <tp t="s">
        <v>9/1/2020</v>
        <stp/>
        <stp>##V3_BDPV12</stp>
        <stp>IT0004594930 Corp</stp>
        <stp>Maturity</stp>
        <stp>[NEW BONDS ASW_VINCE2018NIKO.XLSM]CCT!R30C4</stp>
        <tr r="D30" s="44"/>
      </tp>
      <tp t="s">
        <v>FRTR 4 04/25/60</v>
        <stp/>
        <stp>##V3_BDPV12</stp>
        <stp>FR0010870956 Corp</stp>
        <stp>security des</stp>
        <stp>[NEW BONDS ASW_VINCE2018NIKO.XLSM]Isin!R46C12</stp>
        <tr r="L46" s="41"/>
      </tp>
      <tp t="s">
        <v>FRTR 3 3/4 04/25/21</v>
        <stp/>
        <stp>##V3_BDPV12</stp>
        <stp>FR0010192997 Corp</stp>
        <stp>security des</stp>
        <stp>[NEW BONDS ASW_VINCE2018NIKO.XLSM]Isin!R18C12</stp>
        <tr r="L18" s="41"/>
      </tp>
      <tp t="s">
        <v>FRTR 2 1/4 10/25/22</v>
        <stp/>
        <stp>##V3_BDPV12</stp>
        <stp>FR0011337880 Corp</stp>
        <stp>security des</stp>
        <stp>[NEW BONDS ASW_VINCE2018NIKO.XLSM]Isin!R22C12</stp>
        <tr r="L22" s="41"/>
      </tp>
      <tp t="s">
        <v>FRTR 3 1/2 04/25/26</v>
        <stp/>
        <stp>##V3_BDPV12</stp>
        <stp>FR0010916924 Corp</stp>
        <stp>security des</stp>
        <stp>[NEW BONDS ASW_VINCE2018NIKO.XLSM]Isin!R31C12</stp>
        <tr r="L31" s="41"/>
      </tp>
      <tp t="s">
        <v>FRTR 3 04/25/22</v>
        <stp/>
        <stp>##V3_BDPV12</stp>
        <stp>FR0011196856 Corp</stp>
        <stp>security des</stp>
        <stp>[NEW BONDS ASW_VINCE2018NIKO.XLSM]Isin!R21C12</stp>
        <tr r="L21" s="41"/>
      </tp>
    </main>
    <main first="marketviewexcelplugin.mkvxp">
      <tp t="e">
        <v>#REF!</v>
        <stp/>
        <stp>0</stp>
        <stp>EUR.PRICING_MAIN.PXE.IT0005137614</stp>
        <stp>CurrentClosingPriceMid</stp>
        <tr r="X11" s="44"/>
      </tp>
    </main>
    <main first="bloomberg.rtd">
      <tp t="s">
        <v>FRTR 4 04/25/55</v>
        <stp/>
        <stp>##V3_BDPV12</stp>
        <stp>FR0010171975 Corp</stp>
        <stp>security des</stp>
        <stp>[NEW BONDS ASW_VINCE2018NIKO.XLSM]Isin!R45C12</stp>
        <tr r="L45" s="41"/>
      </tp>
      <tp t="s">
        <v>FRTR 4 1/4 10/25/23</v>
        <stp/>
        <stp>##V3_BDPV12</stp>
        <stp>FR0010466938 Corp</stp>
        <stp>security des</stp>
        <stp>[NEW BONDS ASW_VINCE2018NIKO.XLSM]Isin!R25C12</stp>
        <tr r="L25" s="41"/>
      </tp>
      <tp t="s">
        <v>FRTR 8 1/2 10/25/19</v>
        <stp/>
        <stp>##V3_BDPV12</stp>
        <stp>FR0000570921 Corp</stp>
        <stp>security des</stp>
        <stp>[NEW BONDS ASW_VINCE2018NIKO.XLSM]Isin!R13C12</stp>
        <tr r="L13" s="41"/>
      </tp>
    </main>
    <main first="marketviewexcelplugin.mkvxp">
      <tp t="e">
        <v>#REF!</v>
        <stp/>
        <stp>0</stp>
        <stp>EUR.CM_DEPTH.VMO_REPO.IT0005137614_SN_Fixed</stp>
        <stp>TrdValueAvg</stp>
        <tr r="M11" s="44"/>
      </tp>
      <tp t="e">
        <v>#REF!</v>
        <stp/>
        <stp>0</stp>
        <stp>EUR.CM_DEPTH.VMO_REPO.IT0005252520_SN_Fixed</stp>
        <stp>TrdValueAvg</stp>
        <tr r="M14" s="44"/>
      </tp>
    </main>
    <main first="bloomberg.rtd">
      <tp t="s">
        <v>5/1/2023</v>
        <stp/>
        <stp>##V3_BDPV12</stp>
        <stp>IT0004898034 Corp</stp>
        <stp>Maturity</stp>
        <stp>[NEW BONDS ASW_VINCE2018NIKO.XLSM]CCT!R35C4</stp>
        <tr r="D35" s="44"/>
      </tp>
      <tp t="s">
        <v>FRTR 2 1/2 05/25/30</v>
        <stp/>
        <stp>##V3_BDPV12</stp>
        <stp>FR0011883966 Corp</stp>
        <stp>security des</stp>
        <stp>[NEW BONDS ASW_VINCE2018NIKO.XLSM]Isin!R37C12</stp>
        <tr r="L37" s="41"/>
      </tp>
    </main>
    <main first="marketviewexcelplugin.mkvxp"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  <tp t="e">
        <v>#REF!</v>
        <stp/>
        <stp>0</stp>
        <stp>EUR.PRICING_MAIN.PXE.IT0005185456</stp>
        <stp>CurrentClosingPriceMid</stp>
        <tr r="X12" s="44"/>
      </tp>
    </main>
    <main first="bloomberg.rtd">
      <tp t="s">
        <v>FRTR 0 1/2 05/25/26</v>
        <stp/>
        <stp>##V3_BDPV12</stp>
        <stp>FR0013131877 Corp</stp>
        <stp>security des</stp>
        <stp>[NEW BONDS ASW_VINCE2018NIKO.XLSM]Isin!R32C12</stp>
        <tr r="L32" s="41"/>
      </tp>
      <tp t="s">
        <v>FRTR 0 05/25/20</v>
        <stp/>
        <stp>##V3_BDPV12</stp>
        <stp>FR0012557957 Corp</stp>
        <stp>security des</stp>
        <stp>[NEW BONDS ASW_VINCE2018NIKO.XLSM]Isin!R16C12</stp>
        <tr r="L16" s="41"/>
      </tp>
      <tp t="s">
        <v>FRTR 0 1/4 11/25/26</v>
        <stp/>
        <stp>##V3_BDPV12</stp>
        <stp>FR0013200813 Corp</stp>
        <stp>security des</stp>
        <stp>[NEW BONDS ASW_VINCE2018NIKO.XLSM]Isin!R34C12</stp>
        <tr r="L34" s="41"/>
      </tp>
      <tp t="s">
        <v>12/1/2019</v>
        <stp/>
        <stp>##V3_BDPV12</stp>
        <stp>IT0005069395 Corp</stp>
        <stp>Maturity</stp>
        <stp>[NEW BONDS ASW_VINCE2018NIKO.XLSM]CCT!R29C4</stp>
        <tr r="D29" s="44"/>
      </tp>
      <tp t="s">
        <v>2/15/2024</v>
        <stp/>
        <stp>##V3_BDPV12</stp>
        <stp>IT0005218968 Corp</stp>
        <stp>Maturity</stp>
        <stp>[NEW BONDS ASW_VINCE2018NIKO.XLSM]CCT!R13C4</stp>
        <tr r="D13" s="44"/>
      </tp>
    </main>
    <main first="marketviewexcelplugin.mkvxp">
      <tp t="e">
        <v>#REF!</v>
        <stp/>
        <stp>0</stp>
        <stp>EUR.PRICING_MAIN.PXE.IT0005104473</stp>
        <stp>CurrentClosingPriceMid</stp>
        <tr r="X10" s="44"/>
      </tp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pldatasource.rtgetrtdserver">
      <tp>
        <v>0.81600000000000006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pldatasource.rtgetrtdserver">
      <tp>
        <v>143.57</v>
        <stp/>
        <stp xml:space="preserve">
IT36665=TT_x000F_SECOND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43453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bloomberg.rtd">
      <tp t="s">
        <v>11/15/2017</v>
        <stp/>
        <stp>##V3_BDPV12</stp>
        <stp>IT0005009839 Corp</stp>
        <stp>PREV_CPN_DT</stp>
        <stp>[NEW BONDS ASW_VINCE2018NIKO.XLSM]CCT!R8C26</stp>
        <tr r="Z8" s="44"/>
      </tp>
      <tp t="s">
        <v>EJ5066257</v>
        <stp/>
        <stp>##V3_BDPV12</stp>
        <stp>OEM8 Comdty</stp>
        <stp>FUT_CTD_CUSIP</stp>
        <stp>[NEW BONDS ASW_VINCE2018NIKO.XLSM]Bonds!R5C37</stp>
        <tr r="AK5" s="1"/>
      </tp>
      <tp t="s">
        <v>EJ5066257</v>
        <stp/>
        <stp>##V3_BDPV12</stp>
        <stp>OEM8 Comdty</stp>
        <stp>FUT_CTD_CUSIP</stp>
        <stp>[NEW BONDS ASW_VINCE2018NIKO.XLSM]Bonds!R6C37</stp>
        <tr r="AK6" s="1"/>
        <tr r="AK6" s="1"/>
      </tp>
    </main>
    <main first="pldatasource.rtgetrtdserver">
      <tp>
        <v>0.92200000000000004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  <tp>
        <v>0.92200000000000004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  <tp>
        <v>0.81600000000000006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10/15/2017</v>
        <stp/>
        <stp>##V3_BDPV12</stp>
        <stp>IT0004716319 Corp</stp>
        <stp>PREV_CPN_DT</stp>
        <stp>[NEW BONDS ASW_VINCE2018NIKO.XLSM]CCT!R6C26</stp>
        <tr r="Z6" s="44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marketviewexcelplugin.mkvxp">
      <tp t="e">
        <v>#REF!</v>
        <stp/>
        <stp>0</stp>
        <stp>EUR.PRICING_MAIN.PXE.IT0004922909</stp>
        <stp>MDuration</stp>
        <tr r="W7" s="44"/>
      </tp>
    </main>
    <main first="bloomberg.rtd">
      <tp t="s">
        <v>12/15/2017</v>
        <stp/>
        <stp>##V3_BDPV12</stp>
        <stp>IT0005056541 Corp</stp>
        <stp>PREV_CPN_DT</stp>
        <stp>[NEW BONDS ASW_VINCE2018NIKO.XLSM]CCT!R9C26</stp>
        <tr r="Z9" s="44"/>
      </tp>
    </main>
    <main first="marketviewexcelplugin.mkvxp">
      <tp t="e">
        <v>#REF!</v>
        <stp/>
        <stp>0</stp>
        <stp>EUR.PRICING_MAIN.PXE.IT0004716319</stp>
        <stp>MDuration</stp>
        <tr r="W6" s="44"/>
      </tp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  <tp t="e">
        <v>#REF!</v>
        <stp/>
        <stp>0</stp>
        <stp>EUR.PRICING_MAIN.PXE.IT0005311508</stp>
        <stp>MDuration</stp>
        <tr r="W15" s="44"/>
      </tp>
    </main>
    <main first="pldatasource.rtgetrtdserver">
      <tp>
        <v>4.1000000000000002E-2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  <tp>
        <v>-0.263468596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pldatasource.rtgetrtdserver">
      <tp>
        <v>-0.148697623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AR2578292</v>
        <stp/>
        <stp>##V3_BDPV12</stp>
        <stp>DUM8 Comdty</stp>
        <stp>FUT_CTD_CUSIP</stp>
        <stp>[NEW BONDS ASW_VINCE2018NIKO.XLSM]Bonds!R5C30</stp>
        <tr r="AD5" s="1"/>
      </tp>
      <tp t="s">
        <v>AR2578292</v>
        <stp/>
        <stp>##V3_BDPV12</stp>
        <stp>DUM8 Comdty</stp>
        <stp>FUT_CTD_CUSIP</stp>
        <stp>[NEW BONDS ASW_VINCE2018NIKO.XLSM]Bonds!R6C30</stp>
        <tr r="AD6" s="1"/>
        <tr r="AD6" s="1"/>
      </tp>
    </main>
    <main first="pldatasource.rtgetrtdserver">
      <tp>
        <v>-0.148697623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pldatasource.rtgetrtdserver">
      <tp>
        <v>-0.263468596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11/1/2017</v>
        <stp/>
        <stp>##V3_BDPV12</stp>
        <stp>IT0004922909 Corp</stp>
        <stp>PREV_CPN_DT</stp>
        <stp>[NEW BONDS ASW_VINCE2018NIKO.XLSM]CCT!R7C26</stp>
        <tr r="Z7" s="44"/>
      </tp>
    </main>
    <main first="pldatasource.rtgetrtdserver">
      <tp>
        <v>4.1000000000000002E-2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  <tp>
        <v>0.23600000000000002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  <tp>
        <v>0.69700000000000006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  <tp>
        <v>0.41200000000000003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-0.36599999999999999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  <tp>
        <v>0.56400000000000006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  <tp>
        <v>0.56400000000000006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  <tp>
        <v>-0.36599999999999999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  <tp>
        <v>0.41200000000000003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  <tp>
        <v>0.69700000000000006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  <tp>
        <v>0.23600000000000002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  <tp>
        <v>102.76</v>
        <stp/>
        <stp>_x000B_IT495757=TT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117.633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99.561000000000007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112.607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109.43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  <tp>
        <v>123.03700000000001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</main>
    <main first="bloomberg.rtd">
      <tp>
        <v>101.96599999999999</v>
        <stp/>
        <stp>##V3_BDPV12</stp>
        <stp>IT0005056541 Corp</stp>
        <stp>PX_ASK</stp>
        <stp>[NEW BONDS ASW_VINCE2018NIKO.XLSM]CCT!R9C9</stp>
        <tr r="I9" s="44"/>
      </tp>
      <tp>
        <v>101.873</v>
        <stp/>
        <stp>##V3_BDPV12</stp>
        <stp>IT0005056541 Corp</stp>
        <stp>PX_BID</stp>
        <stp>[NEW BONDS ASW_VINCE2018NIKO.XLSM]CCT!R9C7</stp>
        <tr r="G9" s="44"/>
      </tp>
    </main>
    <main first="pldatasource.rtgetrtdserver">
      <tp>
        <v>-0.36598432000000003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149.35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112.82600000000001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108.62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121.25</v>
        <stp/>
        <stp>_x000B_IT480154=TT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120.66</v>
        <stp/>
        <stp>_x000B_IT393465=TT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-0.36598432000000003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100.251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100.78400000000001</v>
        <stp/>
        <stp>_x000B_IT490784=TT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112.467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97.807000000000002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  <tp>
        <v>163.369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  <tp>
        <v>102.65</v>
        <stp/>
        <stp>_x000B_IT524478=TT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100.334</v>
        <stp/>
        <stp>_x000B_IT522128=TT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-0.230333333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105.55200000000001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108.952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  <tp>
        <v>99.341999999999999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121.67</v>
        <stp/>
        <stp>_x000B_IT484883=TT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91.75</v>
        <stp/>
        <stp>_x000B_IT521739=TT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>
        <v>100.07000000000001</v>
        <stp/>
        <stp>_x000B_IT521649=TT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118.15</v>
        <stp/>
        <stp>_x000B_IT489803=TT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125.63000000000001</v>
        <stp/>
        <stp>_x000B_IT488903=TT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-0.36600001999999998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106.57600000000001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119.34</v>
        <stp/>
        <stp>_x000B_IT495341=TT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100.74000000000001</v>
        <stp/>
        <stp>_x000B_IT517559=TT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100.411</v>
        <stp/>
        <stp>_x000B_IT513909=TT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92.2</v>
        <stp/>
        <stp>_x000B_IT509408=TT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103.19</v>
        <stp/>
        <stp>_x000B_IT508688=TT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-0.36600001999999998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  <tp>
        <v>102.17</v>
        <stp/>
        <stp>_x000B_IT506939=TT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110.94</v>
        <stp/>
        <stp>_x000B_IT496640=TT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103.05</v>
        <stp/>
        <stp>_x000B_IT512708=TT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103.21900000000001</v>
        <stp/>
        <stp>_x000B_IT499230=TT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-0.21033333300000001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105.342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100.88</v>
        <stp/>
        <stp>_x000B_IT525094=TT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103.91</v>
        <stp/>
        <stp>_x000B_IT524634=TT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100.535</v>
        <stp/>
        <stp>_x000B_IT517727=TT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101.12</v>
        <stp/>
        <stp>_x000B_IT527744=TT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98.16</v>
        <stp/>
        <stp>_x000B_IT521524=TT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109.81</v>
        <stp/>
        <stp>_x000B_IT459493=TT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100.37</v>
        <stp/>
        <stp>_x000B_IT528504=TT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144.33000000000001</v>
        <stp/>
        <stp>_x000B_IT108656=TT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</main>
    <main first="bloomberg.rtd">
      <tp t="s">
        <v>FRTR 0 02/25/18</v>
        <stp/>
        <stp>##V3_BDPV12</stp>
        <stp>FR0012634558 Corp</stp>
        <stp>security des</stp>
        <stp>[NEW BONDS ASW_VINCE2018NIKO.XLSM]Isin!R5C12</stp>
        <tr r="L5" s="41"/>
      </tp>
      <tp t="s">
        <v>FRTR 1 05/25/18</v>
        <stp/>
        <stp>##V3_BDPV12</stp>
        <stp>FR0011394345 Corp</stp>
        <stp>security des</stp>
        <stp>[NEW BONDS ASW_VINCE2018NIKO.XLSM]Isin!R7C12</stp>
        <tr r="L7" s="41"/>
      </tp>
      <tp t="s">
        <v>FRTR 4 04/25/18</v>
        <stp/>
        <stp>##V3_BDPV12</stp>
        <stp>FR0010604983 Corp</stp>
        <stp>security des</stp>
        <stp>[NEW BONDS ASW_VINCE2018NIKO.XLSM]Isin!R6C12</stp>
        <tr r="L6" s="41"/>
      </tp>
    </main>
    <main first="pldatasource.rtgetrtdserver">
      <tp>
        <v>100.32000000000001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114.595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147.684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100.52500000000001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100.923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100.693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106.92100000000001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120.06</v>
        <stp/>
        <stp>_x000B_IT435684=TT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107.44</v>
        <stp/>
        <stp>_x000B_IT504527=TT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100.02</v>
        <stp/>
        <stp>_x000B_IT524035=TT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100.008</v>
        <stp/>
        <stp>_x000B_IT517536=TT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101.83500000000001</v>
        <stp/>
        <stp>_x000B_IT436104=TT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96.15</v>
        <stp/>
        <stp>_x000B_IT521065=TT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111.57000000000001</v>
        <stp/>
        <stp>_x000B_IT400967=TT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100.54</v>
        <stp/>
        <stp>_x000B_IT532594=TT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</main>
    <main first="bloomberg.rtd">
      <tp t="s">
        <v>BTNS 1 07/25/17</v>
        <stp/>
        <stp>##V3_BDPV12</stp>
        <stp>FR0120746609 Corp</stp>
        <stp>security des</stp>
        <stp>[NEW BONDS ASW_VINCE2018NIKO.XLSM]Isin!R3C12</stp>
        <tr r="L3" s="41"/>
      </tp>
    </main>
    <main first="pldatasource.rtgetrtdserver">
      <tp>
        <v>112.339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100.88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142.01599999999999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154.96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108.38200000000001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115.38</v>
        <stp/>
        <stp>_x000B_IT500154=TT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136.03</v>
        <stp/>
        <stp>_x000B_IT428696=TT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99.662000000000006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>
        <v>101.246</v>
        <stp/>
        <stp>##V3_BDPV12</stp>
        <stp>IT0004922909 Corp</stp>
        <stp>PX_ASK</stp>
        <stp>[NEW BONDS ASW_VINCE2018NIKO.XLSM]CCT!R7C9</stp>
        <tr r="I7" s="44"/>
      </tp>
      <tp>
        <v>101.193</v>
        <stp/>
        <stp>##V3_BDPV12</stp>
        <stp>IT0004922909 Corp</stp>
        <stp>PX_BID</stp>
        <stp>[NEW BONDS ASW_VINCE2018NIKO.XLSM]CCT!R7C7</stp>
        <tr r="G7" s="44"/>
      </tp>
    </main>
    <main first="pldatasource.rtgetrtdserver">
      <tp>
        <v>100.401</v>
        <stp/>
        <stp>_x000B_IT525647=TT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121.68</v>
        <stp/>
        <stp>_x000B_IT464473=TT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101.57000000000001</v>
        <stp/>
        <stp>_x000B_IT514214=TT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100.108</v>
        <stp/>
        <stp>_x000B_IT510604=TT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103.4</v>
        <stp/>
        <stp>_x000B_IT513584=TT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110.63</v>
        <stp/>
        <stp>_x000B_IT463413=TT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100.33500000000001</v>
        <stp/>
        <stp>_x000B_IT528927=TT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106.623</v>
        <stp/>
        <stp>_x000B_IT448961=TT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107.12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</main>
    <main first="bloomberg.rtd">
      <tp t="s">
        <v>FRTR 4 1/4 10/25/17</v>
        <stp/>
        <stp>##V3_BDPV12</stp>
        <stp>FR0010517417 Corp</stp>
        <stp>security des</stp>
        <stp>[NEW BONDS ASW_VINCE2018NIKO.XLSM]Isin!R4C12</stp>
        <tr r="L4" s="41"/>
      </tp>
    </main>
    <main first="pldatasource.rtgetrtdserver">
      <tp>
        <v>107.55800000000001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104.033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102.774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160.51400000000001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101.081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124.075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151.67400000000001</v>
        <stp/>
        <stp>_x000B_ES00001241=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4" s="1"/>
      </tp>
      <tp>
        <v>103.444</v>
        <stp/>
        <stp>_x000B_ES0000124V=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118.843</v>
        <stp/>
        <stp>_x000B_ES0000124W=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156.44499999999999</v>
        <stp/>
        <stp>_x000B_ES0000124H=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9" s="1"/>
      </tp>
      <tp>
        <v>102.523</v>
        <stp/>
        <stp>_x000B_ES0000124B=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  <tp>
        <v>137</v>
        <stp/>
        <stp>_x000B_ES0000124C=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1"/>
      </tp>
      <tp>
        <v>105.373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101.58</v>
        <stp/>
        <stp>_x000B_IT527480=TT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99.42</v>
        <stp/>
        <stp>_x000B_IT517083=TT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113.07900000000001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103.104</v>
        <stp/>
        <stp>_x000B_ES0000126C=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106.93300000000001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103.081</v>
        <stp/>
        <stp>_x000B_ES0000127H=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108.816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100.08800000000001</v>
        <stp/>
        <stp>_x000B_ES0000127D=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103.94200000000001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148.60599999999999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146.04400000000001</v>
        <stp/>
        <stp>_x000B_ES0000121S=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8" s="1"/>
      </tp>
      <tp>
        <v>107.47</v>
        <stp/>
        <stp>_x000B_ES0000121O=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  <tp>
        <v>106.745</v>
        <stp/>
        <stp>_x000B_ES0000121L=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124.313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101.654</v>
        <stp/>
        <stp>_x000B_ES0000121A=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113.051</v>
        <stp/>
        <stp>_x000B_ES0000122T=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0" s="1"/>
      </tp>
      <tp>
        <v>108.92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127.086</v>
        <stp/>
        <stp>_x000B_ES0000122E=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3" s="1"/>
      </tp>
      <tp>
        <v>121.501</v>
        <stp/>
        <stp>_x000B_ES0000123X=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124.32900000000001</v>
        <stp/>
        <stp>_x000B_ES0000123U=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>
        <v>122.236</v>
        <stp/>
        <stp>_x000B_ES0000123K=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117.27200000000001</v>
        <stp/>
        <stp>_x000B_ES0000123B=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  <tp>
        <v>138.57400000000001</v>
        <stp/>
        <stp>_x000B_ES0000123C=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6" s="1"/>
      </tp>
      <tp>
        <v>100.32300000000001</v>
        <stp/>
        <stp>_x000B_ES0000128X=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</tp>
      <tp>
        <v>102.515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106.441</v>
        <stp/>
        <stp>_x000B_ES0000128Q=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5" s="1"/>
      </tp>
      <tp>
        <v>100.895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101.462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119.864</v>
        <stp/>
        <stp>_x000B_ES0000128E=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2" s="1"/>
      </tp>
      <tp>
        <v>102.53400000000001</v>
        <stp/>
        <stp>_x000B_ES0000128B=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3" s="1"/>
      </tp>
      <tp>
        <v>110.68900000000001</v>
        <stp/>
        <stp>_x000B_ES0000128C=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0" s="1"/>
      </tp>
      <tp>
        <v>100.548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  <tp>
        <v>134.721</v>
        <stp/>
        <stp>_x000B_ES00001293=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6" s="1"/>
      </tp>
      <tp>
        <v>101.482</v>
        <stp/>
        <stp>_x000B_ES000012A8=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9" s="1"/>
      </tp>
      <tp>
        <v>100.67100000000001</v>
        <stp/>
        <stp>_x000B_ES000012A9=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6" s="1"/>
      </tp>
      <tp>
        <v>104.813</v>
        <stp/>
        <stp>_x000B_ES000012B4=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1" s="1"/>
      </tp>
      <tp>
        <v>100.38</v>
        <stp/>
        <stp>_x000B_ES000012B3=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0" s="1"/>
      </tp>
    </main>
    <main first="bloomberg.rtd">
      <tp t="s">
        <v>AL9975494</v>
        <stp/>
        <stp>##V3_BDPV12</stp>
        <stp>RXM8 Comdty</stp>
        <stp>FUT_CTD_CUSIP</stp>
        <stp>[NEW BONDS ASW_VINCE2018NIKO.XLSM]Bonds!R5C38</stp>
        <tr r="AL5" s="1"/>
      </tp>
      <tp t="s">
        <v>AL9975494</v>
        <stp/>
        <stp>##V3_BDPV12</stp>
        <stp>RXM8 Comdty</stp>
        <stp>FUT_CTD_CUSIP</stp>
        <stp>[NEW BONDS ASW_VINCE2018NIKO.XLSM]Bonds!R6C38</stp>
        <tr r="AL6" s="1"/>
        <tr r="AL6" s="1"/>
      </tp>
      <tp t="s">
        <v>FRTR 4 1/4 10/25/18</v>
        <stp/>
        <stp>##V3_BDPV12</stp>
        <stp>FR0010670737 Corp</stp>
        <stp>security des</stp>
        <stp>[NEW BONDS ASW_VINCE2018NIKO.XLSM]Isin!R8C12</stp>
        <tr r="L8" s="41"/>
      </tp>
    </main>
    <main first="pldatasource.rtgetrtdserver">
      <tp>
        <v>162.196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143.11500000000001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100.965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104.735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118.919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142.02000000000001</v>
        <stp/>
        <stp>_x000B_IT144437=TT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132.04</v>
        <stp/>
        <stp>_x000B_IT127851=TT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109.41</v>
        <stp/>
        <stp>_x000B_IT527301=TT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8" s="1"/>
      </tp>
      <tp>
        <v>100.60000000000001</v>
        <stp/>
        <stp>_x000B_IT517232=TT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96.4</v>
        <stp/>
        <stp>_x000B_IT516282=TT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113.35000000000001</v>
        <stp/>
        <stp>_x000B_IT502423=TT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99.83</v>
        <stp/>
        <stp>_x000B_IT532730=TT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96.847999999999999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134.48500000000001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100.4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100.431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110.465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100.794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</main>
    <main first="bloomberg.rtd">
      <tp>
        <v>100.057</v>
        <stp/>
        <stp>##V3_BDPV12</stp>
        <stp>IT0004716319 Corp</stp>
        <stp>PX_BID</stp>
        <stp>[NEW BONDS ASW_VINCE2018NIKO.XLSM]CCT!R6C7</stp>
        <tr r="G6" s="44"/>
      </tp>
      <tp>
        <v>100.114</v>
        <stp/>
        <stp>##V3_BDPV12</stp>
        <stp>IT0004716319 Corp</stp>
        <stp>PX_ASK</stp>
        <stp>[NEW BONDS ASW_VINCE2018NIKO.XLSM]CCT!R6C9</stp>
        <tr r="I6" s="44"/>
      </tp>
    </main>
    <main first="pldatasource.rtgetrtdserver">
      <tp>
        <v>117.60000000000001</v>
        <stp/>
        <stp>_x000B_IT475967=TT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141.44</v>
        <stp/>
        <stp>_x000B_IT325682=TT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108.77</v>
        <stp/>
        <stp>_x000B_IT364476=TT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140.81</v>
        <stp/>
        <stp>_x000B_IT117461=TT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100.47</v>
        <stp/>
        <stp>_x000B_IT521792=TT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133.72</v>
        <stp/>
        <stp>_x000B_IT353515=TT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102.52</v>
        <stp/>
        <stp>_x000B_IT503050=TT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135.75</v>
        <stp/>
        <stp>_x000B_IT453255=TT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106.43</v>
        <stp/>
        <stp>_x000B_IT502800=TT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100.44</v>
        <stp/>
        <stp>_x000B_IT532303=TT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133.9</v>
        <stp/>
        <stp>_x000B_IT492399=TT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100.76</v>
        <stp/>
        <stp>_x000B_IT528252=TT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101.85600000000001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102.905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101.76600000000001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106.038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</main>
    <main first="bloomberg.rtd">
      <tp>
        <v>102.08499999999999</v>
        <stp/>
        <stp>##V3_BDPV12</stp>
        <stp>IT0005009839 Corp</stp>
        <stp>PX_ASK</stp>
        <stp>[NEW BONDS ASW_VINCE2018NIKO.XLSM]CCT!R8C9</stp>
        <tr r="I8" s="44"/>
      </tp>
      <tp>
        <v>102.006</v>
        <stp/>
        <stp>##V3_BDPV12</stp>
        <stp>IT0005009839 Corp</stp>
        <stp>PX_BID</stp>
        <stp>[NEW BONDS ASW_VINCE2018NIKO.XLSM]CCT!R8C7</stp>
        <tr r="G8" s="44"/>
      </tp>
    </main>
    <main first="pldatasource.rtgetrtdserver">
      <tp>
        <v>103.10000000000001</v>
        <stp/>
        <stp>_x000B_IT524083=TT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95.16</v>
        <stp/>
        <stp>_x000B_IT517790=TT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123.99000000000001</v>
        <stp/>
        <stp>_x000B_IT451364=TT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101.67</v>
        <stp/>
        <stp>_x000B_IT510770=TT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108.59</v>
        <stp/>
        <stp>_x000B_IT453694=TT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103.47</v>
        <stp/>
        <stp>_x000B_IT532132=TT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104.685</v>
        <stp/>
        <stp>_x000B_IT442395=TT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146.488</v>
        <stp/>
        <stp>_x000B_ES00001186=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1"/>
      </tp>
      <tp>
        <v>115.2</v>
        <stp/>
        <stp>_x000B_IT469507=TT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100.27</v>
        <stp/>
        <stp>_x000B_IT509031=TT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104.078</v>
        <stp/>
        <stp>_x000B_IT349325=TT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</main>
    <main first="bloomberg.rtd">
      <tp t="s">
        <v>FRTR 1 11/25/18</v>
        <stp/>
        <stp>##V3_BDPV12</stp>
        <stp>FR0011523257 Corp</stp>
        <stp>security des</stp>
        <stp>[NEW BONDS ASW_VINCE2018NIKO.XLSM]Isin!R9C12</stp>
        <tr r="L9" s="41"/>
      </tp>
    </main>
    <main first="pldatasource.rtgetrtdserver">
      <tp>
        <v>106.03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  <tp>
        <v>101.622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137.05199999999999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166.57300000000001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8" s="1"/>
      </tp>
      <tp>
        <v>98.900999999999996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107.89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</main>
    <main first="bloomberg.rtd">
      <tp t="s">
        <v>DBR 4 1/4 07/04/39</v>
        <stp/>
        <stp>##V3_BDPV12</stp>
        <stp>DE0001135325 Corp</stp>
        <stp>security des</stp>
        <stp>[NEW BONDS ASW_VINCE2018NIKO.XLSM]Isin!R49C9</stp>
        <tr r="I49" s="41"/>
      </tp>
      <tp t="s">
        <v>DBR 3 1/2 07/04/19</v>
        <stp/>
        <stp>##V3_BDPV12</stp>
        <stp>DE0001135382 Corp</stp>
        <stp>security des</stp>
        <stp>[NEW BONDS ASW_VINCE2018NIKO.XLSM]Isin!R19C9</stp>
        <tr r="I19" s="41"/>
      </tp>
      <tp t="s">
        <v>DBR 2 01/04/22</v>
        <stp/>
        <stp>##V3_BDPV12</stp>
        <stp>DE0001135465 Corp</stp>
        <stp>security des</stp>
        <stp>[NEW BONDS ASW_VINCE2018NIKO.XLSM]Isin!R29C9</stp>
        <tr r="I29" s="41"/>
      </tp>
      <tp t="s">
        <v>BTPS 5 08/01/34</v>
        <stp/>
        <stp>##V3_BDPV12</stp>
        <stp>IT0003535157 Corp</stp>
        <stp>security des</stp>
        <stp>[NEW BONDS ASW_VINCE2018NIKO.XLSM]Isin!R64C3</stp>
        <tr r="C64" s="41"/>
      </tp>
      <tp t="s">
        <v>BTPS 0.35 11/01/21</v>
        <stp/>
        <stp>##V3_BDPV12</stp>
        <stp>IT0005216491 Corp</stp>
        <stp>security des</stp>
        <stp>[NEW BONDS ASW_VINCE2018NIKO.XLSM]Isin!R27C3</stp>
        <tr r="C27" s="41"/>
      </tp>
      <tp t="s">
        <v>BTPS 0.45 06/01/21</v>
        <stp/>
        <stp>##V3_BDPV12</stp>
        <stp>IT0005175598 Corp</stp>
        <stp>security des</stp>
        <stp>[NEW BONDS ASW_VINCE2018NIKO.XLSM]Isin!R24C3</stp>
        <tr r="C24" s="41"/>
      </tp>
      <tp t="s">
        <v>BTPS 1.45 11/15/24</v>
        <stp/>
        <stp>##V3_BDPV12</stp>
        <stp>IT0005282527 Corp</stp>
        <stp>security des</stp>
        <stp>[NEW BONDS ASW_VINCE2018NIKO.XLSM]Isin!R43C3</stp>
        <tr r="C43" s="41"/>
      </tp>
      <tp t="s">
        <v>BTPS 2 1/2 05/01/19</v>
        <stp/>
        <stp>##V3_BDPV12</stp>
        <stp>IT0004992308 Corp</stp>
        <stp>security des</stp>
        <stp>[NEW BONDS ASW_VINCE2018NIKO.XLSM]Isin!R13C3</stp>
        <tr r="C13" s="41"/>
      </tp>
      <tp t="s">
        <v>BTPS 2 1/2 12/01/24</v>
        <stp/>
        <stp>##V3_BDPV12</stp>
        <stp>IT0005045270 Corp</stp>
        <stp>security des</stp>
        <stp>[NEW BONDS ASW_VINCE2018NIKO.XLSM]Isin!R44C3</stp>
        <tr r="C44" s="41"/>
      </tp>
      <tp t="s">
        <v>BTPS 6 1/2 11/01/27</v>
        <stp/>
        <stp>##V3_BDPV12</stp>
        <stp>IT0001174611 Corp</stp>
        <stp>security des</stp>
        <stp>[NEW BONDS ASW_VINCE2018NIKO.XLSM]Isin!R55C3</stp>
        <tr r="C55" s="41"/>
      </tp>
      <tp t="s">
        <v>BTPS 1.45 05/15/25</v>
        <stp/>
        <stp>##V3_BDPV12</stp>
        <stp>IT0005327306 Corp</stp>
        <stp>security des</stp>
        <stp>[NEW BONDS ASW_VINCE2018NIKO.XLSM]Isin!R46C3</stp>
        <tr r="C46" s="41"/>
      </tp>
      <tp t="s">
        <v>BTPS 5 08/01/39</v>
        <stp/>
        <stp>##V3_BDPV12</stp>
        <stp>IT0004286966 Corp</stp>
        <stp>security des</stp>
        <stp>[NEW BONDS ASW_VINCE2018NIKO.XLSM]Isin!R67C3</stp>
        <tr r="C67" s="41"/>
      </tp>
      <tp t="s">
        <v>BTPS 4 1/2 03/01/19</v>
        <stp/>
        <stp>##V3_BDPV12</stp>
        <stp>IT0004423957 Corp</stp>
        <stp>security des</stp>
        <stp>[NEW BONDS ASW_VINCE2018NIKO.XLSM]Isin!R12C3</stp>
        <tr r="C12" s="41"/>
      </tp>
      <tp t="s">
        <v>BTPS 4 3/4 08/01/23</v>
        <stp/>
        <stp>##V3_BDPV12</stp>
        <stp>IT0004356843 Corp</stp>
        <stp>security des</stp>
        <stp>[NEW BONDS ASW_VINCE2018NIKO.XLSM]Isin!R37C3</stp>
        <tr r="C37" s="41"/>
      </tp>
      <tp t="s">
        <v>BTPS 0.95 03/01/23</v>
        <stp/>
        <stp>##V3_BDPV12</stp>
        <stp>IT0005325946 Corp</stp>
        <stp>security des</stp>
        <stp>[NEW BONDS ASW_VINCE2018NIKO.XLSM]Isin!R34C3</stp>
        <tr r="C34" s="41"/>
      </tp>
      <tp t="s">
        <v>1/15/2018</v>
        <stp/>
        <stp>##V3_BDPV12</stp>
        <stp>IT0005185456 Corp</stp>
        <stp>PREV_CPN_DT</stp>
        <stp>[NEW BONDS ASW_VINCE2018NIKO.XLSM]CCT!R12C26</stp>
        <tr r="Z12" s="44"/>
      </tp>
      <tp t="s">
        <v>SPGB 0 1/2 10/31/17</v>
        <stp/>
        <stp>##V3_BDPV12</stp>
        <stp>ES00000126V0 Corp</stp>
        <stp>security des</stp>
        <stp>[NEW BONDS ASW_VINCE2018NIKO.XLSM]Isin!R9C6</stp>
        <tr r="F9" s="41"/>
      </tp>
      <tp t="s">
        <v>OBL 0 1/2 04/07/17</v>
        <stp/>
        <stp>##V3_BDPV12</stp>
        <stp>DE0001141638 Corp</stp>
        <stp>security des</stp>
        <stp>[NEW BONDS ASW_VINCE2018NIKO.XLSM]Isin!R4C9</stp>
        <tr r="I4" s="41"/>
      </tp>
      <tp>
        <v>5</v>
        <stp/>
        <stp>##V3_BDPV12</stp>
        <stp>IT0004759673 Corp</stp>
        <stp>CPN</stp>
        <stp>[NEW BONDS ASW_VINCE2018NIKO.XLSM]CCT!R32C6</stp>
        <tr r="F32" s="44"/>
      </tp>
      <tp t="s">
        <v>DBR 4 01/04/37</v>
        <stp/>
        <stp>##V3_BDPV12</stp>
        <stp>DE0001135275 Corp</stp>
        <stp>security des</stp>
        <stp>[NEW BONDS ASW_VINCE2018NIKO.XLSM]Isin!R48C9</stp>
        <tr r="I48" s="41"/>
      </tp>
      <tp t="s">
        <v>DBR 2 1/4 09/04/21</v>
        <stp/>
        <stp>##V3_BDPV12</stp>
        <stp>DE0001135457 Corp</stp>
        <stp>security des</stp>
        <stp>[NEW BONDS ASW_VINCE2018NIKO.XLSM]Isin!R28C9</stp>
        <tr r="I28" s="41"/>
      </tp>
      <tp t="s">
        <v>BTPS 5 03/01/22</v>
        <stp/>
        <stp>##V3_BDPV12</stp>
        <stp>IT0004759673 Corp</stp>
        <stp>security des</stp>
        <stp>[NEW BONDS ASW_VINCE2018NIKO.XLSM]Isin!R29C3</stp>
        <tr r="C29" s="41"/>
      </tp>
      <tp t="s">
        <v>BTPS 5 1/2 09/01/22</v>
        <stp/>
        <stp>##V3_BDPV12</stp>
        <stp>IT0004801541 Corp</stp>
        <stp>security des</stp>
        <stp>[NEW BONDS ASW_VINCE2018NIKO.XLSM]Isin!R31C3</stp>
        <tr r="C31" s="41"/>
      </tp>
      <tp t="s">
        <v>BTPS 2.15 12/15/21</v>
        <stp/>
        <stp>##V3_BDPV12</stp>
        <stp>IT0005028003 Corp</stp>
        <stp>security des</stp>
        <stp>[NEW BONDS ASW_VINCE2018NIKO.XLSM]Isin!R28C3</stp>
        <tr r="C28" s="41"/>
      </tp>
      <tp t="s">
        <v>BTPS 5 1/4 11/01/29</v>
        <stp/>
        <stp>##V3_BDPV12</stp>
        <stp>IT0001278511 Corp</stp>
        <stp>security des</stp>
        <stp>[NEW BONDS ASW_VINCE2018NIKO.XLSM]Isin!R58C3</stp>
        <tr r="C58" s="41"/>
      </tp>
      <tp t="s">
        <v>BTPS 1.6 06/01/26</v>
        <stp/>
        <stp>##V3_BDPV12</stp>
        <stp>IT0005170839 Corp</stp>
        <stp>security des</stp>
        <stp>[NEW BONDS ASW_VINCE2018NIKO.XLSM]Isin!R50C3</stp>
        <tr r="C50" s="41"/>
      </tp>
      <tp t="s">
        <v>BTPS 2.05 08/01/27</v>
        <stp/>
        <stp>##V3_BDPV12</stp>
        <stp>IT0005274805 Corp</stp>
        <stp>security des</stp>
        <stp>[NEW BONDS ASW_VINCE2018NIKO.XLSM]Isin!R54C3</stp>
        <tr r="C54" s="41"/>
      </tp>
      <tp>
        <v>0</v>
        <stp/>
        <stp>##V3_BDPV12</stp>
        <stp>IT0005175366 Corp</stp>
        <stp>CPN</stp>
        <stp>[NEW BONDS ASW_VINCE2018NIKO.XLSM]CCT!R24C6</stp>
        <tr r="F24" s="44"/>
      </tp>
      <tp t="s">
        <v>BTPS 4 1/2 03/01/24</v>
        <stp/>
        <stp>##V3_BDPV12</stp>
        <stp>IT0004953417 Corp</stp>
        <stp>security des</stp>
        <stp>[NEW BONDS ASW_VINCE2018NIKO.XLSM]Isin!R40C3</stp>
        <tr r="C40" s="41"/>
      </tp>
      <tp t="s">
        <v>BTPS 3 3/4 09/01/24</v>
        <stp/>
        <stp>##V3_BDPV12</stp>
        <stp>IT0005001547 Corp</stp>
        <stp>security des</stp>
        <stp>[NEW BONDS ASW_VINCE2018NIKO.XLSM]Isin!R42C3</stp>
        <tr r="C42" s="41"/>
      </tp>
      <tp t="s">
        <v>BTPS 2.45 09/01/33</v>
        <stp/>
        <stp>##V3_BDPV12</stp>
        <stp>IT0005240350 Corp</stp>
        <stp>security des</stp>
        <stp>[NEW BONDS ASW_VINCE2018NIKO.XLSM]Isin!R63C3</stp>
        <tr r="C63" s="41"/>
      </tp>
      <tp t="s">
        <v>BTPS 3 1/4 09/01/46</v>
        <stp/>
        <stp>##V3_BDPV12</stp>
        <stp>IT0005083057 Corp</stp>
        <stp>security des</stp>
        <stp>[NEW BONDS ASW_VINCE2018NIKO.XLSM]Isin!R70C3</stp>
        <tr r="C70" s="41"/>
      </tp>
      <tp t="s">
        <v>BTPS 0.65 11/01/20</v>
        <stp/>
        <stp>##V3_BDPV12</stp>
        <stp>IT0005142143 Corp</stp>
        <stp>security des</stp>
        <stp>[NEW BONDS ASW_VINCE2018NIKO.XLSM]Isin!R21C3</stp>
        <tr r="C21" s="41"/>
      </tp>
      <tp t="s">
        <v>BTPS 4 3/4 09/01/21</v>
        <stp/>
        <stp>##V3_BDPV12</stp>
        <stp>IT0004695075 Corp</stp>
        <stp>security des</stp>
        <stp>[NEW BONDS ASW_VINCE2018NIKO.XLSM]Isin!R26C3</stp>
        <tr r="C26" s="41"/>
      </tp>
      <tp t="s">
        <v>BTPS 4 1/2 02/01/20</v>
        <stp/>
        <stp>##V3_BDPV12</stp>
        <stp>IT0003644769 Corp</stp>
        <stp>security des</stp>
        <stp>[NEW BONDS ASW_VINCE2018NIKO.XLSM]Isin!R17C3</stp>
        <tr r="C17" s="41"/>
      </tp>
      <tp t="s">
        <v>BTPS 2.7 03/01/47</v>
        <stp/>
        <stp>##V3_BDPV12</stp>
        <stp>IT0005162828 Corp</stp>
        <stp>security des</stp>
        <stp>[NEW BONDS ASW_VINCE2018NIKO.XLSM]Isin!R71C3</stp>
        <tr r="C71" s="41"/>
      </tp>
      <tp t="s">
        <v>BTPS 2.2 06/01/27</v>
        <stp/>
        <stp>##V3_BDPV12</stp>
        <stp>IT0005240830 Corp</stp>
        <stp>security des</stp>
        <stp>[NEW BONDS ASW_VINCE2018NIKO.XLSM]Isin!R53C3</stp>
        <tr r="C53" s="41"/>
      </tp>
      <tp t="s">
        <v>OBL 0 1/2 10/13/17</v>
        <stp/>
        <stp>##V3_BDPV12</stp>
        <stp>DE0001141646 Corp</stp>
        <stp>security des</stp>
        <stp>[NEW BONDS ASW_VINCE2018NIKO.XLSM]Isin!R8C9</stp>
        <tr r="I8" s="41"/>
      </tp>
      <tp>
        <v>0.25</v>
        <stp/>
        <stp>##V3_BDPV12</stp>
        <stp>IT0005106049 Corp</stp>
        <stp>CPN</stp>
        <stp>[NEW BONDS ASW_VINCE2018NIKO.XLSM]CCT!R25C6</stp>
        <tr r="F25" s="44"/>
      </tp>
      <tp>
        <v>1.05</v>
        <stp/>
        <stp>##V3_BDPV12</stp>
        <stp>IT0005069395 Corp</stp>
        <stp>CPN</stp>
        <stp>[NEW BONDS ASW_VINCE2018NIKO.XLSM]CCT!R29C6</stp>
        <tr r="F29" s="44"/>
      </tp>
      <tp>
        <v>1.5</v>
        <stp/>
        <stp>##V3_BDPV12</stp>
        <stp>IT0005090318 Corp</stp>
        <stp>CPN</stp>
        <stp>[NEW BONDS ASW_VINCE2018NIKO.XLSM]CCT!R41C6</stp>
        <tr r="F41" s="44"/>
      </tp>
      <tp>
        <v>0.65</v>
        <stp/>
        <stp>##V3_BDPV12</stp>
        <stp>IT0005215246 Corp</stp>
        <stp>CPN</stp>
        <stp>[NEW BONDS ASW_VINCE2018NIKO.XLSM]CCT!R36C6</stp>
        <tr r="F36" s="44"/>
      </tp>
      <tp t="s">
        <v>BTPS 1 1/4 12/01/26</v>
        <stp/>
        <stp>##V3_BDPV12</stp>
        <stp>IT0005210650 Corp</stp>
        <stp>security des</stp>
        <stp>[NEW BONDS ASW_VINCE2018NIKO.XLSM]Isin!R52C3</stp>
        <tr r="C52" s="41"/>
      </tp>
      <tp t="s">
        <v>BTPS 4 1/4 02/01/19</v>
        <stp/>
        <stp>##V3_BDPV12</stp>
        <stp>IT0003493258 Corp</stp>
        <stp>security des</stp>
        <stp>[NEW BONDS ASW_VINCE2018NIKO.XLSM]Isin!R11C3</stp>
        <tr r="C11" s="41"/>
      </tp>
      <tp t="s">
        <v>BTPS 4 02/01/37</v>
        <stp/>
        <stp>##V3_BDPV12</stp>
        <stp>IT0003934657 Corp</stp>
        <stp>security des</stp>
        <stp>[NEW BONDS ASW_VINCE2018NIKO.XLSM]Isin!R66C3</stp>
        <tr r="C66" s="41"/>
      </tp>
      <tp t="s">
        <v>BTPS 2 1/4 09/01/36</v>
        <stp/>
        <stp>##V3_BDPV12</stp>
        <stp>IT0005177909 Corp</stp>
        <stp>security des</stp>
        <stp>[NEW BONDS ASW_VINCE2018NIKO.XLSM]Isin!R65C3</stp>
        <tr r="C65" s="41"/>
      </tp>
      <tp>
        <v>5</v>
        <stp/>
        <stp>##V3_BDPV12</stp>
        <stp>IT0004513641 Corp</stp>
        <stp>CPN</stp>
        <stp>[NEW BONDS ASW_VINCE2018NIKO.XLSM]CCT!R40C6</stp>
        <tr r="F40" s="44"/>
      </tp>
      <tp>
        <v>0.42699999999999999</v>
        <stp/>
        <stp>##V3_BDPV12</stp>
        <stp>IT0005137614 Corp</stp>
        <stp>CPN</stp>
        <stp>[NEW BONDS ASW_VINCE2018NIKO.XLSM]CCT!R11C6</stp>
        <tr r="F11" s="44"/>
      </tp>
      <tp>
        <v>4.5</v>
        <stp/>
        <stp>##V3_BDPV12</stp>
        <stp>IT0004361041 Corp</stp>
        <stp>CPN</stp>
        <stp>[NEW BONDS ASW_VINCE2018NIKO.XLSM]CCT!R26C6</stp>
        <tr r="F26" s="44"/>
      </tp>
      <tp t="s">
        <v>BTPS 3 3/4 05/01/21</v>
        <stp/>
        <stp>##V3_BDPV12</stp>
        <stp>IT0004966401 Corp</stp>
        <stp>security des</stp>
        <stp>[NEW BONDS ASW_VINCE2018NIKO.XLSM]Isin!R23C3</stp>
        <tr r="C23" s="41"/>
      </tp>
      <tp t="s">
        <v>BTPS 1.65 03/01/32</v>
        <stp/>
        <stp>##V3_BDPV12</stp>
        <stp>IT0005094088 Corp</stp>
        <stp>security des</stp>
        <stp>[NEW BONDS ASW_VINCE2018NIKO.XLSM]Isin!R61C3</stp>
        <tr r="C61" s="41"/>
      </tp>
      <tp t="s">
        <v>BTPS 2 02/01/28</v>
        <stp/>
        <stp>##V3_BDPV12</stp>
        <stp>IT0005323032 Corp</stp>
        <stp>security des</stp>
        <stp>[NEW BONDS ASW_VINCE2018NIKO.XLSM]Isin!R56C3</stp>
        <tr r="C56" s="41"/>
      </tp>
      <tp t="s">
        <v>SPGB 3.8 01/31/17</v>
        <stp/>
        <stp>##V3_BDPV12</stp>
        <stp>ES00000120J8 Corp</stp>
        <stp>security des</stp>
        <stp>[NEW BONDS ASW_VINCE2018NIKO.XLSM]Isin!R5C6</stp>
        <tr r="F5" s="41"/>
      </tp>
      <tp t="s">
        <v>SPGB 4 3/4 09/30/17</v>
        <stp/>
        <stp>##V3_BDPV12</stp>
        <stp>ES00000123R5 Corp</stp>
        <stp>security des</stp>
        <stp>[NEW BONDS ASW_VINCE2018NIKO.XLSM]Isin!R8C6</stp>
        <tr r="F8" s="41"/>
      </tp>
      <tp>
        <v>4</v>
        <stp/>
        <stp>##V3_BDPV12</stp>
        <stp>IT0004594930 Corp</stp>
        <stp>CPN</stp>
        <stp>[NEW BONDS ASW_VINCE2018NIKO.XLSM]CCT!R30C6</stp>
        <tr r="F30" s="44"/>
      </tp>
      <tp>
        <v>0.67600000000000005</v>
        <stp/>
        <stp>##V3_BDPV12</stp>
        <stp>IT0005311508 Corp</stp>
        <stp>CPN</stp>
        <stp>[NEW BONDS ASW_VINCE2018NIKO.XLSM]CCT!R15C6</stp>
        <tr r="F15" s="44"/>
      </tp>
      <tp>
        <v>0.42899999999999999</v>
        <stp/>
        <stp>##V3_BDPV12</stp>
        <stp>IT0005185456 Corp</stp>
        <stp>CPN</stp>
        <stp>[NEW BONDS ASW_VINCE2018NIKO.XLSM]CCT!R12C6</stp>
        <tr r="F12" s="44"/>
      </tp>
      <tp>
        <v>0.27700000000000002</v>
        <stp/>
        <stp>##V3_BDPV12</stp>
        <stp>IT0005104473 Corp</stp>
        <stp>CPN</stp>
        <stp>[NEW BONDS ASW_VINCE2018NIKO.XLSM]CCT!R10C6</stp>
        <tr r="F10" s="44"/>
      </tp>
    </main>
    <main first="pldatasource.rtgetrtdserver">
      <tp>
        <v>1.75E-3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1.5000000000000001E-4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6.5000000000000006E-3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1.25E-3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1.25E-4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4.0000000000000001E-3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</main>
    <main first="bloomberg.rtd">
      <tp t="s">
        <v>OBL 0 1/2 04/12/19</v>
        <stp/>
        <stp>##V3_BDPV12</stp>
        <stp>DE0001141695 Corp</stp>
        <stp>security des</stp>
        <stp>[NEW BONDS ASW_VINCE2018NIKO.XLSM]Isin!R18C9</stp>
        <tr r="I18" s="41"/>
      </tp>
      <tp t="s">
        <v>BTPS 6 05/01/31</v>
        <stp/>
        <stp>##V3_BDPV12</stp>
        <stp>IT0001444378 Corp</stp>
        <stp>security des</stp>
        <stp>[NEW BONDS ASW_VINCE2018NIKO.XLSM]Isin!R60C3</stp>
        <tr r="C60" s="41"/>
      </tp>
      <tp t="s">
        <v>BTPS 1 1/2 08/01/19</v>
        <stp/>
        <stp>##V3_BDPV12</stp>
        <stp>IT0005030504 Corp</stp>
        <stp>security des</stp>
        <stp>[NEW BONDS ASW_VINCE2018NIKO.XLSM]Isin!R14C3</stp>
        <tr r="C14" s="41"/>
      </tp>
    </main>
    <main first="pldatasource.rtgetrtdserver">
      <tp>
        <v>3.5000000000000001E-3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4.75E-4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</main>
    <main first="bloomberg.rtd">
      <tp t="s">
        <v>BTPS 5 3/4 02/01/33</v>
        <stp/>
        <stp>##V3_BDPV12</stp>
        <stp>IT0003256820 Corp</stp>
        <stp>security des</stp>
        <stp>[NEW BONDS ASW_VINCE2018NIKO.XLSM]Isin!R62C3</stp>
        <tr r="C62" s="41"/>
      </tp>
    </main>
    <main first="pldatasource.rtgetrtdserver">
      <tp>
        <v>2.2500000000000003E-3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 t="s">
        <v>BTPS 4 09/01/20</v>
        <stp/>
        <stp>##V3_BDPV12</stp>
        <stp>IT0004594930 Corp</stp>
        <stp>security des</stp>
        <stp>[NEW BONDS ASW_VINCE2018NIKO.XLSM]Isin!R20C3</stp>
        <tr r="C20" s="41"/>
      </tp>
      <tp>
        <v>0.47400000000000003</v>
        <stp/>
        <stp>##V3_BDPV12</stp>
        <stp>IT0005218968 Corp</stp>
        <stp>CPN</stp>
        <stp>[NEW BONDS ASW_VINCE2018NIKO.XLSM]CCT!R13C6</stp>
        <tr r="F13" s="44"/>
      </tp>
      <tp t="s">
        <v>DBR 1 08/15/24</v>
        <stp/>
        <stp>##V3_BDPV12</stp>
        <stp>DE0001102366 Corp</stp>
        <stp>security des</stp>
        <stp>[NEW BONDS ASW_VINCE2018NIKO.XLSM]Isin!R38C9</stp>
        <tr r="I38" s="41"/>
      </tp>
      <tp t="s">
        <v>BTPS 3 1/2 12/01/18</v>
        <stp/>
        <stp>##V3_BDPV12</stp>
        <stp>IT0004957574 Corp</stp>
        <stp>security des</stp>
        <stp>[NEW BONDS ASW_VINCE2018NIKO.XLSM]Isin!R10C3</stp>
        <tr r="C10" s="41"/>
      </tp>
      <tp t="s">
        <v>BTPS 1.85 05/15/24</v>
        <stp/>
        <stp>##V3_BDPV12</stp>
        <stp>IT0005246340 Corp</stp>
        <stp>security des</stp>
        <stp>[NEW BONDS ASW_VINCE2018NIKO.XLSM]Isin!R41C3</stp>
        <tr r="C41" s="41"/>
      </tp>
      <tp t="s">
        <v>BTPS 0.95 03/15/23</v>
        <stp/>
        <stp>##V3_BDPV12</stp>
        <stp>IT0005172322 Corp</stp>
        <stp>security des</stp>
        <stp>[NEW BONDS ASW_VINCE2018NIKO.XLSM]Isin!R35C3</stp>
        <tr r="C35" s="41"/>
      </tp>
      <tp t="s">
        <v>BTPS 1 1/2 06/01/25</v>
        <stp/>
        <stp>##V3_BDPV12</stp>
        <stp>IT0005090318 Corp</stp>
        <stp>security des</stp>
        <stp>[NEW BONDS ASW_VINCE2018NIKO.XLSM]Isin!R47C3</stp>
        <tr r="C47" s="41"/>
      </tp>
      <tp t="s">
        <v>SPGB 4.8 01/31/24</v>
        <stp/>
        <stp>##V3_BDPV12</stp>
        <stp>ES00000121G2 Corp</stp>
        <stp>security des</stp>
        <stp>[NEW BONDS ASW_VINCE2018NIKO.XLSM]Isin!R29C6</stp>
        <tr r="F29" s="41"/>
      </tp>
      <tp t="s">
        <v>SPGB 4 04/30/20</v>
        <stp/>
        <stp>##V3_BDPV12</stp>
        <stp>ES00000122D7 Corp</stp>
        <stp>security des</stp>
        <stp>[NEW BONDS ASW_VINCE2018NIKO.XLSM]Isin!R19C6</stp>
        <tr r="F19" s="41"/>
      </tp>
      <tp t="s">
        <v>BTPS 7 1/4 11/01/26</v>
        <stp/>
        <stp>##V3_BDPV12</stp>
        <stp>IT0001086567 Corp</stp>
        <stp>security des</stp>
        <stp>[NEW BONDS ASW_VINCE2018NIKO.XLSM]Isin!R51C3</stp>
        <tr r="C51" s="41"/>
      </tp>
      <tp t="s">
        <v>SPGB 2.9 10/31/46</v>
        <stp/>
        <stp>##V3_BDPV12</stp>
        <stp>ES00000128C6 Corp</stp>
        <stp>security des</stp>
        <stp>[NEW BONDS ASW_VINCE2018NIKO.XLSM]Isin!R49C6</stp>
        <tr r="F49" s="41"/>
      </tp>
      <tp t="s">
        <v>BTPS 1.45 09/15/22</v>
        <stp/>
        <stp>##V3_BDPV12</stp>
        <stp>IT0005135840 Corp</stp>
        <stp>security des</stp>
        <stp>[NEW BONDS ASW_VINCE2018NIKO.XLSM]Isin!R32C3</stp>
        <tr r="C32" s="41"/>
      </tp>
      <tp>
        <v>3.75</v>
        <stp/>
        <stp>##V3_BDPV12</stp>
        <stp>IT0004634132 Corp</stp>
        <stp>CPN</stp>
        <stp>[NEW BONDS ASW_VINCE2018NIKO.XLSM]CCT!R31C6</stp>
        <tr r="F31" s="44"/>
      </tp>
      <tp>
        <v>0.82599999999999996</v>
        <stp/>
        <stp>##V3_BDPV12</stp>
        <stp>IT0005252520 Corp</stp>
        <stp>CPN</stp>
        <stp>[NEW BONDS ASW_VINCE2018NIKO.XLSM]CCT!R14C6</stp>
        <tr r="F14" s="44"/>
      </tp>
      <tp t="s">
        <v>SPGB 1.45 10/31/27</v>
        <stp/>
        <stp>##V3_BDPV12</stp>
        <stp>ES0000012A89 Corp</stp>
        <stp>security des</stp>
        <stp>[NEW BONDS ASW_VINCE2018NIKO.XLSM]Isin!R39C6</stp>
        <tr r="F39" s="41"/>
      </tp>
      <tp t="s">
        <v>DBR 0 1/2 02/15/25</v>
        <stp/>
        <stp>##V3_BDPV12</stp>
        <stp>DE0001102374 Corp</stp>
        <stp>security des</stp>
        <stp>[NEW BONDS ASW_VINCE2018NIKO.XLSM]Isin!R39C9</stp>
        <tr r="I39" s="41"/>
      </tp>
      <tp t="s">
        <v>SPGB 5.15 10/31/44</v>
        <stp/>
        <stp>##V3_BDPV12</stp>
        <stp>ES00000124H4 Corp</stp>
        <stp>security des</stp>
        <stp>[NEW BONDS ASW_VINCE2018NIKO.XLSM]Isin!R48C6</stp>
        <tr r="F48" s="41"/>
      </tp>
      <tp t="s">
        <v>BTPS 5 03/01/25</v>
        <stp/>
        <stp>##V3_BDPV12</stp>
        <stp>IT0004513641 Corp</stp>
        <stp>security des</stp>
        <stp>[NEW BONDS ASW_VINCE2018NIKO.XLSM]Isin!R45C3</stp>
        <tr r="C45" s="41"/>
      </tp>
      <tp t="s">
        <v>SPGB 1.4 01/31/20</v>
        <stp/>
        <stp>##V3_BDPV12</stp>
        <stp>ES00000126C0 Corp</stp>
        <stp>security des</stp>
        <stp>[NEW BONDS ASW_VINCE2018NIKO.XLSM]Isin!R18C6</stp>
        <tr r="F18" s="41"/>
      </tp>
      <tp t="s">
        <v>BTPS 3 3/4 03/01/21</v>
        <stp/>
        <stp>##V3_BDPV12</stp>
        <stp>IT0004634132 Corp</stp>
        <stp>security des</stp>
        <stp>[NEW BONDS ASW_VINCE2018NIKO.XLSM]Isin!R22C3</stp>
        <tr r="C22" s="41"/>
      </tp>
      <tp t="s">
        <v>SPGB 4.4 10/31/23</v>
        <stp/>
        <stp>##V3_BDPV12</stp>
        <stp>ES00000123X3 Corp</stp>
        <stp>security des</stp>
        <stp>[NEW BONDS ASW_VINCE2018NIKO.XLSM]Isin!R28C6</stp>
        <tr r="F28" s="41"/>
      </tp>
      <tp t="s">
        <v>SPGB 1 1/2 04/30/27</v>
        <stp/>
        <stp>##V3_BDPV12</stp>
        <stp>ES00000128P8 Corp</stp>
        <stp>security des</stp>
        <stp>[NEW BONDS ASW_VINCE2018NIKO.XLSM]Isin!R38C6</stp>
        <tr r="F38" s="41"/>
      </tp>
      <tp t="s">
        <v>BTPS 1.35 04/15/22</v>
        <stp/>
        <stp>##V3_BDPV12</stp>
        <stp>IT0005086886 Corp</stp>
        <stp>security des</stp>
        <stp>[NEW BONDS ASW_VINCE2018NIKO.XLSM]Isin!R30C3</stp>
        <tr r="C30" s="41"/>
      </tp>
      <tp t="s">
        <v>BTPS 4 1/2 08/01/18</v>
        <stp/>
        <stp>##V3_BDPV12</stp>
        <stp>IT0004361041 Corp</stp>
        <stp>security des</stp>
        <stp>[NEW BONDS ASW_VINCE2018NIKO.XLSM]Isin!R8C3</stp>
        <tr r="C8" s="41"/>
      </tp>
      <tp t="s">
        <v>10/15/2017</v>
        <stp/>
        <stp>##V3_BDPV12</stp>
        <stp>IT0005311508 Corp</stp>
        <stp>PREV_CPN_DT</stp>
        <stp>[NEW BONDS ASW_VINCE2018NIKO.XLSM]CCT!R15C26</stp>
        <tr r="Z15" s="44"/>
      </tp>
      <tp t="s">
        <v>BTPS 0 1/4 05/15/18</v>
        <stp/>
        <stp>##V3_BDPV12</stp>
        <stp>IT0005106049 Corp</stp>
        <stp>security des</stp>
        <stp>[NEW BONDS ASW_VINCE2018NIKO.XLSM]Isin!R6C3</stp>
        <tr r="C6" s="41"/>
      </tp>
      <tp t="s">
        <v>2/15/2018</v>
        <stp/>
        <stp>##V3_BDPV12</stp>
        <stp>IT0005218968 Corp</stp>
        <stp>PREV_CPN_DT</stp>
        <stp>[NEW BONDS ASW_VINCE2018NIKO.XLSM]CCT!R13C26</stp>
        <tr r="Z13" s="44"/>
      </tp>
      <tp t="s">
        <v>DBR 1 3/4 02/15/24</v>
        <stp/>
        <stp>##V3_BDPV12</stp>
        <stp>DE0001102333 Corp</stp>
        <stp>security des</stp>
        <stp>[NEW BONDS ASW_VINCE2018NIKO.XLSM]Isin!R36C9</stp>
        <tr r="I36" s="41"/>
      </tp>
      <tp t="s">
        <v>DBR 3 1/4 01/04/20</v>
        <stp/>
        <stp>##V3_BDPV12</stp>
        <stp>DE0001135390 Corp</stp>
        <stp>security des</stp>
        <stp>[NEW BONDS ASW_VINCE2018NIKO.XLSM]Isin!R21C9</stp>
        <tr r="I21" s="41"/>
      </tp>
      <tp t="s">
        <v>OBL 0 1/4 10/16/20</v>
        <stp/>
        <stp>##V3_BDPV12</stp>
        <stp>DE0001141729 Corp</stp>
        <stp>security des</stp>
        <stp>[NEW BONDS ASW_VINCE2018NIKO.XLSM]Isin!R25C9</stp>
        <tr r="I25" s="41"/>
      </tp>
      <tp t="s">
        <v>OBL 1 10/12/18</v>
        <stp/>
        <stp>##V3_BDPV12</stp>
        <stp>DE0001141679 Corp</stp>
        <stp>security des</stp>
        <stp>[NEW BONDS ASW_VINCE2018NIKO.XLSM]Isin!R15C9</stp>
        <tr r="I15" s="41"/>
      </tp>
      <tp t="s">
        <v>DBR 3 1/4 07/04/42</v>
        <stp/>
        <stp>##V3_BDPV12</stp>
        <stp>DE0001135432 Corp</stp>
        <stp>security des</stp>
        <stp>[NEW BONDS ASW_VINCE2018NIKO.XLSM]Isin!R51C9</stp>
        <tr r="I51" s="41"/>
      </tp>
      <tp t="s">
        <v>DBR 1 1/2 09/04/22</v>
        <stp/>
        <stp>##V3_BDPV12</stp>
        <stp>DE0001135499 Corp</stp>
        <stp>security des</stp>
        <stp>[NEW BONDS ASW_VINCE2018NIKO.XLSM]Isin!R31C9</stp>
        <tr r="I31" s="41"/>
      </tp>
      <tp t="s">
        <v>SPGB 4.7 07/30/41</v>
        <stp/>
        <stp>##V3_BDPV12</stp>
        <stp>ES00000121S7 Corp</stp>
        <stp>security des</stp>
        <stp>[NEW BONDS ASW_VINCE2018NIKO.XLSM]Isin!R47C6</stp>
        <tr r="F47" s="41"/>
      </tp>
      <tp t="s">
        <v>SPGB 4.3 10/31/19</v>
        <stp/>
        <stp>##V3_BDPV12</stp>
        <stp>ES00000121O6 Corp</stp>
        <stp>security des</stp>
        <stp>[NEW BONDS ASW_VINCE2018NIKO.XLSM]Isin!R17C6</stp>
        <tr r="F17" s="41"/>
      </tp>
      <tp t="s">
        <v>SPGB 5.4 01/31/23</v>
        <stp/>
        <stp>##V3_BDPV12</stp>
        <stp>ES00000123U9 Corp</stp>
        <stp>security des</stp>
        <stp>[NEW BONDS ASW_VINCE2018NIKO.XLSM]Isin!R27C6</stp>
        <tr r="F27" s="41"/>
      </tp>
      <tp t="s">
        <v>SPGB 1.3 10/31/26</v>
        <stp/>
        <stp>##V3_BDPV12</stp>
        <stp>ES00000128H5 Corp</stp>
        <stp>security des</stp>
        <stp>[NEW BONDS ASW_VINCE2018NIKO.XLSM]Isin!R37C6</stp>
        <tr r="F37" s="41"/>
      </tp>
      <tp t="s">
        <v>BTPS 4 1/2 02/01/18</v>
        <stp/>
        <stp>##V3_BDPV12</stp>
        <stp>IT0004273493 Corp</stp>
        <stp>security des</stp>
        <stp>[NEW BONDS ASW_VINCE2018NIKO.XLSM]Isin!R4C3</stp>
        <tr r="C4" s="41"/>
      </tp>
      <tp t="s">
        <v>6/15/2018</v>
        <stp/>
        <stp>##V3_BDPV12</stp>
        <stp>IT0005104473 Corp</stp>
        <stp>NXT_CPN_DT</stp>
        <stp>[NEW BONDS ASW_VINCE2018NIKO.XLSM]CCT!R10C25</stp>
        <tr r="Y10" s="44"/>
      </tp>
      <tp t="s">
        <v>DBR 4 01/04/18</v>
        <stp/>
        <stp>##V3_BDPV12</stp>
        <stp>DE0001135341 Corp</stp>
        <stp>security des</stp>
        <stp>[NEW BONDS ASW_VINCE2018NIKO.XLSM]Isin!R10C9</stp>
        <tr r="I10" s="41"/>
      </tp>
      <tp t="s">
        <v>DBR 1 1/2 05/15/24</v>
        <stp/>
        <stp>##V3_BDPV12</stp>
        <stp>DE0001102358 Corp</stp>
        <stp>security des</stp>
        <stp>[NEW BONDS ASW_VINCE2018NIKO.XLSM]Isin!R37C9</stp>
        <tr r="I37" s="41"/>
      </tp>
      <tp t="s">
        <v>DBR 4 3/4 07/04/40</v>
        <stp/>
        <stp>##V3_BDPV12</stp>
        <stp>DE0001135366 Corp</stp>
        <stp>security des</stp>
        <stp>[NEW BONDS ASW_VINCE2018NIKO.XLSM]Isin!R50C9</stp>
        <tr r="I50" s="41"/>
      </tp>
      <tp t="s">
        <v>DBR 1 3/4 07/04/22</v>
        <stp/>
        <stp>##V3_BDPV12</stp>
        <stp>DE0001135473 Corp</stp>
        <stp>security des</stp>
        <stp>[NEW BONDS ASW_VINCE2018NIKO.XLSM]Isin!R30C9</stp>
        <tr r="I30" s="41"/>
      </tp>
      <tp t="s">
        <v>SPGB 4.9 07/30/40</v>
        <stp/>
        <stp>##V3_BDPV12</stp>
        <stp>ES00000120N0 Corp</stp>
        <stp>security des</stp>
        <stp>[NEW BONDS ASW_VINCE2018NIKO.XLSM]Isin!R46C6</stp>
        <tr r="F46" s="41"/>
      </tp>
      <tp t="s">
        <v>SPGB 4.6 07/30/19</v>
        <stp/>
        <stp>##V3_BDPV12</stp>
        <stp>ES00000121L2 Corp</stp>
        <stp>security des</stp>
        <stp>[NEW BONDS ASW_VINCE2018NIKO.XLSM]Isin!R16C6</stp>
        <tr r="F16" s="41"/>
      </tp>
      <tp t="s">
        <v>SPGB 5.9 07/30/26</v>
        <stp/>
        <stp>##V3_BDPV12</stp>
        <stp>ES00000123C7 Corp</stp>
        <stp>security des</stp>
        <stp>[NEW BONDS ASW_VINCE2018NIKO.XLSM]Isin!R36C6</stp>
        <tr r="F36" s="41"/>
      </tp>
      <tp t="s">
        <v>12/15/2017</v>
        <stp/>
        <stp>##V3_BDPV12</stp>
        <stp>IT0005137614 Corp</stp>
        <stp>PREV_CPN_DT</stp>
        <stp>[NEW BONDS ASW_VINCE2018NIKO.XLSM]CCT!R11C26</stp>
        <tr r="Z11" s="44"/>
      </tp>
      <tp t="s">
        <v>BKO 0 12/15/17</v>
        <stp/>
        <stp>##V3_BDPV12</stp>
        <stp>DE0001104628 Corp</stp>
        <stp>security des</stp>
        <stp>[NEW BONDS ASW_VINCE2018NIKO.XLSM]Isin!R9C9</stp>
        <tr r="I9" s="41"/>
      </tp>
    </main>
    <main first="pldatasource.rtgetrtdserver">
      <tp>
        <v>100.2925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99.932500000000005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</main>
    <main first="bloomberg.rtd">
      <tp t="s">
        <v>SPGB 0.45 10/31/22</v>
        <stp/>
        <stp>##V3_BDPV12</stp>
        <stp>ES0000012A97 Corp</stp>
        <stp>security des</stp>
        <stp>[NEW BONDS ASW_VINCE2018NIKO.XLSM]Isin!R26C6</stp>
        <tr r="F26" s="41"/>
      </tp>
    </main>
    <main first="pldatasource.rtgetrtdserver">
      <tp>
        <v>99.607500000000002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100.3125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100.0475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99.827500000000001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-0.27200000000000002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100.3275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100.2475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99.717500000000001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100.31750000000001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100.1575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</main>
    <main first="bloomberg.rtd">
      <tp t="s">
        <v>DBR 2 08/15/23</v>
        <stp/>
        <stp>##V3_BDPV12</stp>
        <stp>DE0001102325 Corp</stp>
        <stp>security des</stp>
        <stp>[NEW BONDS ASW_VINCE2018NIKO.XLSM]Isin!R34C9</stp>
        <tr r="I34" s="41"/>
      </tp>
      <tp t="s">
        <v>DBR 5 5/8 01/04/28</v>
        <stp/>
        <stp>##V3_BDPV12</stp>
        <stp>DE0001135069 Corp</stp>
        <stp>security des</stp>
        <stp>[NEW BONDS ASW_VINCE2018NIKO.XLSM]Isin!R43C9</stp>
        <tr r="I43" s="41"/>
      </tp>
      <tp t="s">
        <v>OBL 1 02/22/19</v>
        <stp/>
        <stp>##V3_BDPV12</stp>
        <stp>DE0001141687 Corp</stp>
        <stp>security des</stp>
        <stp>[NEW BONDS ASW_VINCE2018NIKO.XLSM]Isin!R17C9</stp>
        <tr r="I17" s="41"/>
      </tp>
      <tp t="s">
        <v>DBR 3 07/04/20</v>
        <stp/>
        <stp>##V3_BDPV12</stp>
        <stp>DE0001135408 Corp</stp>
        <stp>security des</stp>
        <stp>[NEW BONDS ASW_VINCE2018NIKO.XLSM]Isin!R23C9</stp>
        <tr r="I23" s="41"/>
      </tp>
      <tp t="s">
        <v>SPGB 2 3/4 04/30/19</v>
        <stp/>
        <stp>##V3_BDPV12</stp>
        <stp>ES00000124V5 Corp</stp>
        <stp>security des</stp>
        <stp>[NEW BONDS ASW_VINCE2018NIKO.XLSM]Isin!R15C6</stp>
        <tr r="F15" s="41"/>
      </tp>
      <tp t="s">
        <v>SPGB 1.95 04/30/26</v>
        <stp/>
        <stp>##V3_BDPV12</stp>
        <stp>ES00000127Z9 Corp</stp>
        <stp>security des</stp>
        <stp>[NEW BONDS ASW_VINCE2018NIKO.XLSM]Isin!R35C6</stp>
        <tr r="F35" s="41"/>
      </tp>
      <tp t="s">
        <v>SPGB 0.4 04/30/22</v>
        <stp/>
        <stp>##V3_BDPV12</stp>
        <stp>ES00000128O1 Corp</stp>
        <stp>security des</stp>
        <stp>[NEW BONDS ASW_VINCE2018NIKO.XLSM]Isin!R25C6</stp>
        <tr r="F25" s="41"/>
      </tp>
      <tp t="s">
        <v>SPGB 4.2 01/31/37</v>
        <stp/>
        <stp>##V3_BDPV12</stp>
        <stp>ES0000012932 Corp</stp>
        <stp>security des</stp>
        <stp>[NEW BONDS ASW_VINCE2018NIKO.XLSM]Isin!R45C6</stp>
        <tr r="F45" s="41"/>
      </tp>
      <tp t="s">
        <v>BTPS 5 1/2 11/01/22</v>
        <stp/>
        <stp>##V3_BDPV12</stp>
        <stp>IT0004848831 Corp</stp>
        <stp>security des</stp>
        <stp>[NEW BONDS ASW_VINCE2018NIKO.XLSM]Isin!R33C3</stp>
        <tr r="C33" s="41"/>
      </tp>
      <tp t="s">
        <v>7/15/2018</v>
        <stp/>
        <stp>##V3_BDPV12</stp>
        <stp>IT0005185456 Corp</stp>
        <stp>NXT_CPN_DT</stp>
        <stp>[NEW BONDS ASW_VINCE2018NIKO.XLSM]CCT!R12C25</stp>
        <tr r="Y12" s="44"/>
      </tp>
      <tp t="s">
        <v>8/15/2018</v>
        <stp/>
        <stp>##V3_BDPV12</stp>
        <stp>IT0005218968 Corp</stp>
        <stp>NXT_CPN_DT</stp>
        <stp>[NEW BONDS ASW_VINCE2018NIKO.XLSM]CCT!R13C25</stp>
        <tr r="Y13" s="44"/>
      </tp>
    </main>
    <main first="pldatasource.rtgetrtdserver">
      <tp>
        <v>100.2475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100.3275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99.827500000000001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100.1575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100.31750000000001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99.717500000000001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100.0475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100.3125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99.607500000000002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99.932500000000005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100.2925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 t="s">
        <v>DBR 6 1/2 07/04/27</v>
        <stp/>
        <stp>##V3_BDPV12</stp>
        <stp>DE0001135044 Corp</stp>
        <stp>security des</stp>
        <stp>[NEW BONDS ASW_VINCE2018NIKO.XLSM]Isin!R42C9</stp>
        <tr r="I42" s="41"/>
      </tp>
      <tp t="s">
        <v>BKO 0 06/15/18</v>
        <stp/>
        <stp>##V3_BDPV12</stp>
        <stp>DE0001104644 Corp</stp>
        <stp>security des</stp>
        <stp>[NEW BONDS ASW_VINCE2018NIKO.XLSM]Isin!R13C9</stp>
        <tr r="I13" s="41"/>
      </tp>
      <tp t="s">
        <v>DBR 2 1/2 07/04/44</v>
        <stp/>
        <stp>##V3_BDPV12</stp>
        <stp>DE0001135481 Corp</stp>
        <stp>security des</stp>
        <stp>[NEW BONDS ASW_VINCE2018NIKO.XLSM]Isin!R52C9</stp>
        <tr r="I52" s="41"/>
      </tp>
      <tp t="s">
        <v>BTPS 5 09/01/40</v>
        <stp/>
        <stp>##V3_BDPV12</stp>
        <stp>IT0004532559 Corp</stp>
        <stp>security des</stp>
        <stp>[NEW BONDS ASW_VINCE2018NIKO.XLSM]Isin!R68C3</stp>
        <tr r="C68" s="41"/>
      </tp>
      <tp t="s">
        <v>SPGB 2.15 10/31/25</v>
        <stp/>
        <stp>##V3_BDPV12</stp>
        <stp>ES00000127G9 Corp</stp>
        <stp>security des</stp>
        <stp>[NEW BONDS ASW_VINCE2018NIKO.XLSM]Isin!R34C6</stp>
        <tr r="F34" s="41"/>
      </tp>
      <tp t="s">
        <v>SPGB 5.85 01/31/22</v>
        <stp/>
        <stp>##V3_BDPV12</stp>
        <stp>ES00000123K0 Corp</stp>
        <stp>security des</stp>
        <stp>[NEW BONDS ASW_VINCE2018NIKO.XLSM]Isin!R24C6</stp>
        <tr r="F24" s="41"/>
      </tp>
      <tp t="s">
        <v>SPGB 2.35 07/30/33</v>
        <stp/>
        <stp>##V3_BDPV12</stp>
        <stp>ES00000128Q6 Corp</stp>
        <stp>security des</stp>
        <stp>[NEW BONDS ASW_VINCE2018NIKO.XLSM]Isin!R44C6</stp>
        <tr r="F44" s="41"/>
      </tp>
      <tp t="s">
        <v>SPGB 0 1/4 01/31/19</v>
        <stp/>
        <stp>##V3_BDPV12</stp>
        <stp>ES00000128A0 Corp</stp>
        <stp>security des</stp>
        <stp>[NEW BONDS ASW_VINCE2018NIKO.XLSM]Isin!R14C6</stp>
        <tr r="F14" s="41"/>
      </tp>
      <tp t="s">
        <v>BTPS 4 3/4 09/01/44</v>
        <stp/>
        <stp>##V3_BDPV12</stp>
        <stp>IT0004923998 Corp</stp>
        <stp>security des</stp>
        <stp>[NEW BONDS ASW_VINCE2018NIKO.XLSM]Isin!R69C3</stp>
        <tr r="C69" s="41"/>
      </tp>
      <tp t="s">
        <v>10/15/2017</v>
        <stp/>
        <stp>##V3_BDPV12</stp>
        <stp>IT0005252520 Corp</stp>
        <stp>PREV_CPN_DT</stp>
        <stp>[NEW BONDS ASW_VINCE2018NIKO.XLSM]CCT!R14C26</stp>
        <tr r="Z14" s="44"/>
      </tp>
      <tp t="s">
        <v>BTPS 0.3 10/15/18</v>
        <stp/>
        <stp>##V3_BDPV12</stp>
        <stp>IT0005139099 Corp</stp>
        <stp>security des</stp>
        <stp>[NEW BONDS ASW_VINCE2018NIKO.XLSM]Isin!R9C3</stp>
        <tr r="C9" s="41"/>
      </tp>
      <tp>
        <v>3.5</v>
        <stp/>
        <stp>##V3_BDPV12</stp>
        <stp>IT0004957574 Corp</stp>
        <stp>CPN</stp>
        <stp>[NEW BONDS ASW_VINCE2018NIKO.XLSM]CCT!R27C6</stp>
        <tr r="F27" s="44"/>
      </tp>
      <tp t="s">
        <v>DBR 1 1/2 02/15/23</v>
        <stp/>
        <stp>##V3_BDPV12</stp>
        <stp>DE0001102309 Corp</stp>
        <stp>security des</stp>
        <stp>[NEW BONDS ASW_VINCE2018NIKO.XLSM]Isin!R32C9</stp>
        <tr r="I32" s="41"/>
      </tp>
      <tp t="s">
        <v>DBR 6 1/4 01/04/30</v>
        <stp/>
        <stp>##V3_BDPV12</stp>
        <stp>DE0001135143 Corp</stp>
        <stp>security des</stp>
        <stp>[NEW BONDS ASW_VINCE2018NIKO.XLSM]Isin!R45C9</stp>
        <tr r="I45" s="41"/>
      </tp>
      <tp t="s">
        <v>OBL 0 1/2 02/23/18</v>
        <stp/>
        <stp>##V3_BDPV12</stp>
        <stp>DE0001141653 Corp</stp>
        <stp>security des</stp>
        <stp>[NEW BONDS ASW_VINCE2018NIKO.XLSM]Isin!R11C9</stp>
        <tr r="I11" s="41"/>
      </tp>
      <tp t="s">
        <v>BTPS 4 1/2 03/01/26</v>
        <stp/>
        <stp>##V3_BDPV12</stp>
        <stp>IT0004644735 Corp</stp>
        <stp>security des</stp>
        <stp>[NEW BONDS ASW_VINCE2018NIKO.XLSM]Isin!R49C3</stp>
        <tr r="C49" s="41"/>
      </tp>
      <tp t="s">
        <v>SPGB 5 3/4 07/30/32</v>
        <stp/>
        <stp>##V3_BDPV12</stp>
        <stp>ES0000012411 Corp</stp>
        <stp>security des</stp>
        <stp>[NEW BONDS ASW_VINCE2018NIKO.XLSM]Isin!R43C6</stp>
        <tr r="F43" s="41"/>
      </tp>
      <tp t="s">
        <v>SPGB 3 3/4 10/31/18</v>
        <stp/>
        <stp>##V3_BDPV12</stp>
        <stp>ES00000124B7 Corp</stp>
        <stp>security des</stp>
        <stp>[NEW BONDS ASW_VINCE2018NIKO.XLSM]Isin!R13C6</stp>
        <tr r="F13" s="41"/>
      </tp>
      <tp t="s">
        <v>BTPS 0.65 10/15/23</v>
        <stp/>
        <stp>##V3_BDPV12</stp>
        <stp>IT0005215246 Corp</stp>
        <stp>security des</stp>
        <stp>[NEW BONDS ASW_VINCE2018NIKO.XLSM]Isin!R38C3</stp>
        <tr r="C38" s="41"/>
      </tp>
      <tp t="s">
        <v>BTPS 3 1/2 03/01/30</v>
        <stp/>
        <stp>##V3_BDPV12</stp>
        <stp>IT0005024234 Corp</stp>
        <stp>security des</stp>
        <stp>[NEW BONDS ASW_VINCE2018NIKO.XLSM]Isin!R59C3</stp>
        <tr r="C59" s="41"/>
      </tp>
      <tp t="s">
        <v>SPGB 4.65 07/30/25</v>
        <stp/>
        <stp>##V3_BDPV12</stp>
        <stp>ES00000122E5 Corp</stp>
        <stp>security des</stp>
        <stp>[NEW BONDS ASW_VINCE2018NIKO.XLSM]Isin!R33C6</stp>
        <tr r="F33" s="41"/>
      </tp>
      <tp t="s">
        <v>SPGB 0 3/4 07/30/21</v>
        <stp/>
        <stp>##V3_BDPV12</stp>
        <stp>ES00000128B8 Corp</stp>
        <stp>security des</stp>
        <stp>[NEW BONDS ASW_VINCE2018NIKO.XLSM]Isin!R23C6</stp>
        <tr r="F23" s="41"/>
      </tp>
      <tp t="s">
        <v>BTPS 3 1/2 06/01/18</v>
        <stp/>
        <stp>##V3_BDPV12</stp>
        <stp>IT0004907843 Corp</stp>
        <stp>security des</stp>
        <stp>[NEW BONDS ASW_VINCE2018NIKO.XLSM]Isin!R7C3</stp>
        <tr r="C7" s="41"/>
      </tp>
      <tp t="s">
        <v>ICTZ 0 03/28/18</v>
        <stp/>
        <stp>##V3_BDPV12</stp>
        <stp>IT0005175366 Corp</stp>
        <stp>security des</stp>
        <stp>[NEW BONDS ASW_VINCE2018NIKO.XLSM]Isin!R5C3</stp>
        <tr r="C5" s="41"/>
      </tp>
      <tp>
        <v>4.5</v>
        <stp/>
        <stp>##V3_BDPV12</stp>
        <stp>IT0004898034 Corp</stp>
        <stp>CPN</stp>
        <stp>[NEW BONDS ASW_VINCE2018NIKO.XLSM]CCT!R35C6</stp>
        <tr r="F35" s="44"/>
      </tp>
      <tp>
        <v>2.5</v>
        <stp/>
        <stp>##V3_BDPV12</stp>
        <stp>IT0005045270 Corp</stp>
        <stp>CPN</stp>
        <stp>[NEW BONDS ASW_VINCE2018NIKO.XLSM]CCT!R39C6</stp>
        <tr r="F39" s="44"/>
      </tp>
      <tp t="s">
        <v>DBR 2 1/2 08/15/46</v>
        <stp/>
        <stp>##V3_BDPV12</stp>
        <stp>DE0001102341 Corp</stp>
        <stp>security des</stp>
        <stp>[NEW BONDS ASW_VINCE2018NIKO.XLSM]Isin!R53C9</stp>
        <tr r="I53" s="41"/>
      </tp>
      <tp t="s">
        <v>DBR 4 1/4 07/04/18</v>
        <stp/>
        <stp>##V3_BDPV12</stp>
        <stp>DE0001135358 Corp</stp>
        <stp>security des</stp>
        <stp>[NEW BONDS ASW_VINCE2018NIKO.XLSM]Isin!R14C9</stp>
        <tr r="I14" s="41"/>
      </tp>
      <tp t="s">
        <v>DBR 1 1/2 05/15/23</v>
        <stp/>
        <stp>##V3_BDPV12</stp>
        <stp>DE0001102317 Corp</stp>
        <stp>security des</stp>
        <stp>[NEW BONDS ASW_VINCE2018NIKO.XLSM]Isin!R33C9</stp>
        <tr r="I33" s="41"/>
      </tp>
      <tp t="s">
        <v>DBR 4 3/4 07/04/28</v>
        <stp/>
        <stp>##V3_BDPV12</stp>
        <stp>DE0001135085 Corp</stp>
        <stp>security des</stp>
        <stp>[NEW BONDS ASW_VINCE2018NIKO.XLSM]Isin!R44C9</stp>
        <tr r="I44" s="41"/>
      </tp>
      <tp t="s">
        <v>OBL 0 1/4 10/11/19</v>
        <stp/>
        <stp>##V3_BDPV12</stp>
        <stp>DE0001141703 Corp</stp>
        <stp>security des</stp>
        <stp>[NEW BONDS ASW_VINCE2018NIKO.XLSM]Isin!R20C9</stp>
        <tr r="I20" s="41"/>
      </tp>
      <tp t="s">
        <v>DBR 2 1/4 09/04/20</v>
        <stp/>
        <stp>##V3_BDPV12</stp>
        <stp>DE0001135416 Corp</stp>
        <stp>security des</stp>
        <stp>[NEW BONDS ASW_VINCE2018NIKO.XLSM]Isin!R24C9</stp>
        <tr r="I24" s="41"/>
      </tp>
      <tp t="s">
        <v>DBR 6 1/4 01/04/24</v>
        <stp/>
        <stp>##V3_BDPV12</stp>
        <stp>DE0001134922 Corp</stp>
        <stp>security des</stp>
        <stp>[NEW BONDS ASW_VINCE2018NIKO.XLSM]Isin!R35C9</stp>
        <tr r="I35" s="41"/>
      </tp>
      <tp t="s">
        <v>BTPS 3 3/4 08/01/21</v>
        <stp/>
        <stp>##V3_BDPV12</stp>
        <stp>IT0004009673 Corp</stp>
        <stp>security des</stp>
        <stp>[NEW BONDS ASW_VINCE2018NIKO.XLSM]Isin!R25C3</stp>
        <tr r="C25" s="41"/>
      </tp>
      <tp t="s">
        <v>BTPS 4 1/4 09/01/19</v>
        <stp/>
        <stp>##V3_BDPV12</stp>
        <stp>IT0004489610 Corp</stp>
        <stp>security des</stp>
        <stp>[NEW BONDS ASW_VINCE2018NIKO.XLSM]Isin!R15C3</stp>
        <tr r="C15" s="41"/>
      </tp>
      <tp t="s">
        <v>SPGB 1.6 04/30/25</v>
        <stp/>
        <stp>##V3_BDPV12</stp>
        <stp>ES00000126Z1 Corp</stp>
        <stp>security des</stp>
        <stp>[NEW BONDS ASW_VINCE2018NIKO.XLSM]Isin!R32C6</stp>
        <tr r="F32" s="41"/>
      </tp>
      <tp t="s">
        <v>SPGB 1.95 07/30/30</v>
        <stp/>
        <stp>##V3_BDPV12</stp>
        <stp>ES00000127A2 Corp</stp>
        <stp>security des</stp>
        <stp>[NEW BONDS ASW_VINCE2018NIKO.XLSM]Isin!R42C6</stp>
        <tr r="F42" s="41"/>
      </tp>
      <tp t="s">
        <v>SPGB 4.1 07/30/18</v>
        <stp/>
        <stp>##V3_BDPV12</stp>
        <stp>ES00000121A5 Corp</stp>
        <stp>security des</stp>
        <stp>[NEW BONDS ASW_VINCE2018NIKO.XLSM]Isin!R12C6</stp>
        <tr r="F12" s="41"/>
      </tp>
      <tp t="s">
        <v>SPGB 5 1/2 04/30/21</v>
        <stp/>
        <stp>##V3_BDPV12</stp>
        <stp>ES00000123B9 Corp</stp>
        <stp>security des</stp>
        <stp>[NEW BONDS ASW_VINCE2018NIKO.XLSM]Isin!R22C6</stp>
        <tr r="F22" s="41"/>
      </tp>
      <tp t="s">
        <v>SPGB 6 01/31/29</v>
        <stp/>
        <stp>##V3_BDPV12</stp>
        <stp>ES0000011868 Corp</stp>
        <stp>security des</stp>
        <stp>[NEW BONDS ASW_VINCE2018NIKO.XLSM]Isin!R41C6</stp>
        <tr r="F41" s="41"/>
      </tp>
      <tp t="s">
        <v>12/15/2017</v>
        <stp/>
        <stp>##V3_BDPV12</stp>
        <stp>IT0005104473 Corp</stp>
        <stp>PREV_CPN_DT</stp>
        <stp>[NEW BONDS ASW_VINCE2018NIKO.XLSM]CCT!R10C26</stp>
        <tr r="Z10" s="44"/>
      </tp>
      <tp t="s">
        <v>4/15/2018</v>
        <stp/>
        <stp>##V3_BDPV12</stp>
        <stp>IT0005311508 Corp</stp>
        <stp>NXT_CPN_DT</stp>
        <stp>[NEW BONDS ASW_VINCE2018NIKO.XLSM]CCT!R15C25</stp>
        <tr r="Y15" s="44"/>
      </tp>
      <tp t="s">
        <v>BKO 0 03/10/17</v>
        <stp/>
        <stp>##V3_BDPV12</stp>
        <stp>DE0001137495 Corp</stp>
        <stp>security des</stp>
        <stp>[NEW BONDS ASW_VINCE2018NIKO.XLSM]Isin!R3C9</stp>
        <tr r="I3" s="41"/>
      </tp>
      <tp t="s">
        <v>BTPS 0 3/4 01/15/18</v>
        <stp/>
        <stp>##V3_BDPV12</stp>
        <stp>IT0005058463 Corp</stp>
        <stp>security des</stp>
        <stp>[NEW BONDS ASW_VINCE2018NIKO.XLSM]Isin!R3C3</stp>
        <tr r="C3" s="41"/>
      </tp>
      <tp t="s">
        <v>SPGB 2.1 04/30/17</v>
        <stp/>
        <stp>##V3_BDPV12</stp>
        <stp>ES00000124I2 Corp</stp>
        <stp>security des</stp>
        <stp>[NEW BONDS ASW_VINCE2018NIKO.XLSM]Isin!R6C6</stp>
        <tr r="F6" s="41"/>
      </tp>
      <tp t="s">
        <v>SPGB 5 1/2 07/30/17</v>
        <stp/>
        <stp>##V3_BDPV12</stp>
        <stp>ES0000012783 Corp</stp>
        <stp>security des</stp>
        <stp>[NEW BONDS ASW_VINCE2018NIKO.XLSM]Isin!R7C6</stp>
        <tr r="F7" s="41"/>
      </tp>
      <tp>
        <v>4.5</v>
        <stp/>
        <stp>##V3_BDPV12</stp>
        <stp>IT0004953417 Corp</stp>
        <stp>CPN</stp>
        <stp>[NEW BONDS ASW_VINCE2018NIKO.XLSM]CCT!R37C6</stp>
        <tr r="F37" s="44"/>
      </tp>
      <tp>
        <v>5.5</v>
        <stp/>
        <stp>##V3_BDPV12</stp>
        <stp>IT0004801541 Corp</stp>
        <stp>CPN</stp>
        <stp>[NEW BONDS ASW_VINCE2018NIKO.XLSM]CCT!R33C6</stp>
        <tr r="F33" s="44"/>
      </tp>
      <tp>
        <v>5.5</v>
        <stp/>
        <stp>##V3_BDPV12</stp>
        <stp>IT0004848831 Corp</stp>
        <stp>CPN</stp>
        <stp>[NEW BONDS ASW_VINCE2018NIKO.XLSM]CCT!R34C6</stp>
        <tr r="F34" s="44"/>
      </tp>
      <tp t="s">
        <v>DBR 1 08/15/25</v>
        <stp/>
        <stp>##V3_BDPV12</stp>
        <stp>DE0001102382 Corp</stp>
        <stp>security des</stp>
        <stp>[NEW BONDS ASW_VINCE2018NIKO.XLSM]Isin!R40C9</stp>
        <tr r="I40" s="41"/>
      </tp>
      <tp t="s">
        <v>DBR 4 3/4 07/04/34</v>
        <stp/>
        <stp>##V3_BDPV12</stp>
        <stp>DE0001135226 Corp</stp>
        <stp>security des</stp>
        <stp>[NEW BONDS ASW_VINCE2018NIKO.XLSM]Isin!R47C9</stp>
        <tr r="I47" s="41"/>
      </tp>
      <tp t="s">
        <v>DBR 3 1/4 07/04/21</v>
        <stp/>
        <stp>##V3_BDPV12</stp>
        <stp>DE0001135440 Corp</stp>
        <stp>security des</stp>
        <stp>[NEW BONDS ASW_VINCE2018NIKO.XLSM]Isin!R27C9</stp>
        <tr r="I27" s="41"/>
      </tp>
      <tp t="s">
        <v>SPGB 2 3/4 10/31/24</v>
        <stp/>
        <stp>##V3_BDPV12</stp>
        <stp>ES00000126B2 Corp</stp>
        <stp>security des</stp>
        <stp>[NEW BONDS ASW_VINCE2018NIKO.XLSM]Isin!R31C6</stp>
        <tr r="F31" s="41"/>
      </tp>
      <tp t="s">
        <v>SPGB 0 1/4 04/30/18</v>
        <stp/>
        <stp>##V3_BDPV12</stp>
        <stp>ES00000127D6 Corp</stp>
        <stp>security des</stp>
        <stp>[NEW BONDS ASW_VINCE2018NIKO.XLSM]Isin!R11C6</stp>
        <tr r="F11" s="41"/>
      </tp>
      <tp t="s">
        <v>BTPS 1.05 12/01/19</v>
        <stp/>
        <stp>##V3_BDPV12</stp>
        <stp>IT0005069395 Corp</stp>
        <stp>security des</stp>
        <stp>[NEW BONDS ASW_VINCE2018NIKO.XLSM]Isin!R16C3</stp>
        <tr r="C16" s="41"/>
      </tp>
      <tp t="s">
        <v>BTPS 9 11/01/23</v>
        <stp/>
        <stp>##V3_BDPV12</stp>
        <stp>IT0000366655 Corp</stp>
        <stp>security des</stp>
        <stp>[NEW BONDS ASW_VINCE2018NIKO.XLSM]Isin!R39C3</stp>
        <tr r="C39" s="41"/>
      </tp>
      <tp t="s">
        <v>BTPS 2 12/01/25</v>
        <stp/>
        <stp>##V3_BDPV12</stp>
        <stp>IT0005127086 Corp</stp>
        <stp>security des</stp>
        <stp>[NEW BONDS ASW_VINCE2018NIKO.XLSM]Isin!R48C3</stp>
        <tr r="C48" s="41"/>
      </tp>
      <tp t="s">
        <v>SPGB 4.85 10/31/20</v>
        <stp/>
        <stp>##V3_BDPV12</stp>
        <stp>ES00000122T3 Corp</stp>
        <stp>security des</stp>
        <stp>[NEW BONDS ASW_VINCE2018NIKO.XLSM]Isin!R21C6</stp>
        <tr r="F21" s="41"/>
      </tp>
      <tp t="s">
        <v>4/15/2018</v>
        <stp/>
        <stp>##V3_BDPV12</stp>
        <stp>IT0005252520 Corp</stp>
        <stp>NXT_CPN_DT</stp>
        <stp>[NEW BONDS ASW_VINCE2018NIKO.XLSM]CCT!R14C25</stp>
        <tr r="Y14" s="44"/>
      </tp>
      <tp t="s">
        <v>DBR 4 1/4 07/04/17</v>
        <stp/>
        <stp>##V3_BDPV12</stp>
        <stp>DE0001135333 Corp</stp>
        <stp>security des</stp>
        <stp>[NEW BONDS ASW_VINCE2018NIKO.XLSM]Isin!R6C9</stp>
        <tr r="I6" s="41"/>
      </tp>
      <tp t="s">
        <v>6/15/2018</v>
        <stp/>
        <stp>##V3_BDPV12</stp>
        <stp>IT0005137614 Corp</stp>
        <stp>NXT_CPN_DT</stp>
        <stp>[NEW BONDS ASW_VINCE2018NIKO.XLSM]CCT!R11C25</stp>
        <tr r="Y11" s="44"/>
      </tp>
      <tp>
        <v>3.75</v>
        <stp/>
        <stp>##V3_BDPV12</stp>
        <stp>IT0005001547 Corp</stp>
        <stp>CPN</stp>
        <stp>[NEW BONDS ASW_VINCE2018NIKO.XLSM]CCT!R38C6</stp>
        <tr r="F38" s="44"/>
      </tp>
      <tp t="s">
        <v>DBR 3 3/4 01/04/19</v>
        <stp/>
        <stp>##V3_BDPV12</stp>
        <stp>DE0001135374 Corp</stp>
        <stp>security des</stp>
        <stp>[NEW BONDS ASW_VINCE2018NIKO.XLSM]Isin!R16C9</stp>
        <tr r="I16" s="41"/>
      </tp>
      <tp t="s">
        <v>DBR 0 1/2 02/15/26</v>
        <stp/>
        <stp>##V3_BDPV12</stp>
        <stp>DE0001102390 Corp</stp>
        <stp>security des</stp>
        <stp>[NEW BONDS ASW_VINCE2018NIKO.XLSM]Isin!R41C9</stp>
        <tr r="I41" s="41"/>
      </tp>
      <tp t="s">
        <v>DBR 5 1/2 01/04/31</v>
        <stp/>
        <stp>##V3_BDPV12</stp>
        <stp>DE0001135176 Corp</stp>
        <stp>security des</stp>
        <stp>[NEW BONDS ASW_VINCE2018NIKO.XLSM]Isin!R46C9</stp>
        <tr r="I46" s="41"/>
      </tp>
      <tp t="s">
        <v>OBL 0 04/17/20</v>
        <stp/>
        <stp>##V3_BDPV12</stp>
        <stp>DE0001141711 Corp</stp>
        <stp>security des</stp>
        <stp>[NEW BONDS ASW_VINCE2018NIKO.XLSM]Isin!R22C9</stp>
        <tr r="I22" s="41"/>
      </tp>
      <tp t="s">
        <v>OBL 0 1/4 04/13/18</v>
        <stp/>
        <stp>##V3_BDPV12</stp>
        <stp>DE0001141661 Corp</stp>
        <stp>security des</stp>
        <stp>[NEW BONDS ASW_VINCE2018NIKO.XLSM]Isin!R12C9</stp>
        <tr r="I12" s="41"/>
      </tp>
      <tp t="s">
        <v>DBR 2 1/2 01/04/21</v>
        <stp/>
        <stp>##V3_BDPV12</stp>
        <stp>DE0001135424 Corp</stp>
        <stp>security des</stp>
        <stp>[NEW BONDS ASW_VINCE2018NIKO.XLSM]Isin!R26C9</stp>
        <tr r="I26" s="41"/>
      </tp>
      <tp t="s">
        <v>SPGB 3.8 04/30/24</v>
        <stp/>
        <stp>##V3_BDPV12</stp>
        <stp>ES00000124W3 Corp</stp>
        <stp>security des</stp>
        <stp>[NEW BONDS ASW_VINCE2018NIKO.XLSM]Isin!R30C6</stp>
        <tr r="F30" s="41"/>
      </tp>
      <tp t="s">
        <v>SPGB 5.15 10/31/28</v>
        <stp/>
        <stp>##V3_BDPV12</stp>
        <stp>ES00000124C5 Corp</stp>
        <stp>security des</stp>
        <stp>[NEW BONDS ASW_VINCE2018NIKO.XLSM]Isin!R40C6</stp>
        <tr r="F40" s="41"/>
      </tp>
      <tp t="s">
        <v>BTPS 0.7 05/01/20</v>
        <stp/>
        <stp>##V3_BDPV12</stp>
        <stp>IT0005107708 Corp</stp>
        <stp>security des</stp>
        <stp>[NEW BONDS ASW_VINCE2018NIKO.XLSM]Isin!R19C3</stp>
        <tr r="C19" s="41"/>
      </tp>
      <tp t="s">
        <v>SPGB 1.15 07/30/20</v>
        <stp/>
        <stp>##V3_BDPV12</stp>
        <stp>ES00000127H7 Corp</stp>
        <stp>security des</stp>
        <stp>[NEW BONDS ASW_VINCE2018NIKO.XLSM]Isin!R20C6</stp>
        <tr r="F20" s="41"/>
      </tp>
      <tp t="s">
        <v>BTPS 4 3/4 09/01/28</v>
        <stp/>
        <stp>##V3_BDPV12</stp>
        <stp>IT0004889033 Corp</stp>
        <stp>security des</stp>
        <stp>[NEW BONDS ASW_VINCE2018NIKO.XLSM]Isin!R57C3</stp>
        <tr r="C57" s="41"/>
      </tp>
      <tp t="s">
        <v>BTPS 4 1/2 05/01/23</v>
        <stp/>
        <stp>##V3_BDPV12</stp>
        <stp>IT0004898034 Corp</stp>
        <stp>security des</stp>
        <stp>[NEW BONDS ASW_VINCE2018NIKO.XLSM]Isin!R36C3</stp>
        <tr r="C36" s="41"/>
      </tp>
      <tp t="s">
        <v>SPGB 4 1/2 01/31/18</v>
        <stp/>
        <stp>##V3_BDPV12</stp>
        <stp>ES00000123Q7 Corp</stp>
        <stp>security des</stp>
        <stp>[NEW BONDS ASW_VINCE2018NIKO.XLSM]Isin!R10C6</stp>
        <tr r="F10" s="41"/>
      </tp>
      <tp t="s">
        <v>BTPS 4 1/4 03/01/20</v>
        <stp/>
        <stp>##V3_BDPV12</stp>
        <stp>IT0004536949 Corp</stp>
        <stp>security des</stp>
        <stp>[NEW BONDS ASW_VINCE2018NIKO.XLSM]Isin!R18C3</stp>
        <tr r="C18" s="41"/>
      </tp>
      <tp t="s">
        <v>BKO 0 06/16/17</v>
        <stp/>
        <stp>##V3_BDPV12</stp>
        <stp>DE0001104602 Corp</stp>
        <stp>security des</stp>
        <stp>[NEW BONDS ASW_VINCE2018NIKO.XLSM]Isin!R5C9</stp>
        <tr r="I5" s="41"/>
      </tp>
      <tp t="s">
        <v>BKO 0 09/15/17</v>
        <stp/>
        <stp>##V3_BDPV12</stp>
        <stp>DE0001104610 Corp</stp>
        <stp>security des</stp>
        <stp>[NEW BONDS ASW_VINCE2018NIKO.XLSM]Isin!R7C9</stp>
        <tr r="I7" s="41"/>
      </tp>
      <tp t="s">
        <v>SPGB 4 1/4 10/31/16</v>
        <stp/>
        <stp>##V3_BDPV12</stp>
        <stp>ES00000123J2 Corp</stp>
        <stp>security des</stp>
        <stp>[NEW BONDS ASW_VINCE2018NIKO.XLSM]Isin!R4C6</stp>
        <tr r="F4" s="41"/>
      </tp>
      <tp t="s">
        <v>SPGB 3.3 07/30/16</v>
        <stp/>
        <stp>##V3_BDPV12</stp>
        <stp>ES00000123W5 Corp</stp>
        <stp>security des</stp>
        <stp>[NEW BONDS ASW_VINCE2018NIKO.XLSM]Isin!R3C6</stp>
        <tr r="F3" s="41"/>
      </tp>
      <tp>
        <v>4.25</v>
        <stp/>
        <stp>##V3_BDPV12</stp>
        <stp>IT0004489610 Corp</stp>
        <stp>CPN</stp>
        <stp>[NEW BONDS ASW_VINCE2018NIKO.XLSM]CCT!R28C6</stp>
        <tr r="F28" s="44"/>
      </tp>
      <tp>
        <v>99.997</v>
        <stp/>
        <stp>##V3_BDPV12</stp>
        <stp>IT0005175366 Corp</stp>
        <stp>PX_ASK</stp>
        <stp>[NEW BONDS ASW_VINCE2018NIKO.XLSM]CCT!R24C9</stp>
        <tr r="I24" s="44"/>
      </tp>
      <tp>
        <v>101.893</v>
        <stp/>
        <stp>##V3_BDPV12</stp>
        <stp>IT0004361041 Corp</stp>
        <stp>PX_ASK</stp>
        <stp>[NEW BONDS ASW_VINCE2018NIKO.XLSM]CCT!R26C9</stp>
        <tr r="I26" s="44"/>
      </tp>
      <tp>
        <v>101.63800000000001</v>
        <stp/>
        <stp>##V3_BDPV12</stp>
        <stp>IT0005137614 Corp</stp>
        <stp>PX_ASK</stp>
        <stp>[NEW BONDS ASW_VINCE2018NIKO.XLSM]CCT!R11C9</stp>
        <tr r="I11" s="44"/>
      </tp>
      <tp>
        <v>123.88500000000001</v>
        <stp/>
        <stp>##V3_BDPV12</stp>
        <stp>IT0004513641 Corp</stp>
        <stp>PX_ASK</stp>
        <stp>[NEW BONDS ASW_VINCE2018NIKO.XLSM]CCT!R40C9</stp>
        <tr r="I40" s="44"/>
      </tp>
      <tp>
        <v>121.22199999999999</v>
        <stp/>
        <stp>##V3_BDPV12</stp>
        <stp>IT0004801541 Corp</stp>
        <stp>PX_ASK</stp>
        <stp>[NEW BONDS ASW_VINCE2018NIKO.XLSM]CCT!R33C9</stp>
        <tr r="I33" s="44"/>
      </tp>
      <tp>
        <v>117.98</v>
        <stp/>
        <stp>##V3_BDPV12</stp>
        <stp>IT0004898034 Corp</stp>
        <stp>PX_BID</stp>
        <stp>[NEW BONDS ASW_VINCE2018NIKO.XLSM]CCT!R35C7</stp>
        <tr r="G35" s="44"/>
      </tp>
      <tp>
        <v>100.938</v>
        <stp/>
        <stp>##V3_BDPV12</stp>
        <stp>IT0005104473 Corp</stp>
        <stp>PX_BID</stp>
        <stp>[NEW BONDS ASW_VINCE2018NIKO.XLSM]CCT!R10C7</stp>
        <tr r="G10" s="44"/>
      </tp>
      <tp>
        <v>97.984999999999999</v>
        <stp/>
        <stp>##V3_BDPV12</stp>
        <stp>IT0005215246 Corp</stp>
        <stp>PX_BID</stp>
        <stp>[NEW BONDS ASW_VINCE2018NIKO.XLSM]CCT!R36C7</stp>
        <tr r="G36" s="44"/>
      </tp>
      <tp>
        <v>-0.58399999999999996</v>
        <stp/>
        <stp>##V3_BDPV12</stp>
        <stp>AR2578292 Govt</stp>
        <stp>BID_YIELD</stp>
        <stp>[NEW BONDS ASW_VINCE2018NIKO.XLSM]Bonds!R6C30</stp>
        <tr r="AD6" s="1"/>
      </tp>
    </main>
    <main first="pldatasource.rtgetrtdserver">
      <tp>
        <v>100.542</v>
        <stp/>
        <stp xml:space="preserve">	DE110466=_x000F_SECOND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9" s="1"/>
      </tp>
      <tp>
        <v>105.36800000000001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148.80100000000002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173.249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108.703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100.101</v>
        <stp/>
        <stp xml:space="preserve">	DE114166=_x000F_SECOND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4" s="1"/>
      </tp>
      <tp>
        <v>100.63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</main>
    <main first="bloomberg.rtd">
      <tp>
        <v>101.322</v>
        <stp/>
        <stp>##V3_BDPV12</stp>
        <stp>IT0005185456 Corp</stp>
        <stp>PX_ASK</stp>
        <stp>[NEW BONDS ASW_VINCE2018NIKO.XLSM]CCT!R12C9</stp>
        <tr r="I12" s="44"/>
      </tp>
      <tp>
        <v>100.063</v>
        <stp/>
        <stp>##V3_BDPV12</stp>
        <stp>IT0005106049 Corp</stp>
        <stp>PX_BID</stp>
        <stp>[NEW BONDS ASW_VINCE2018NIKO.XLSM]CCT!R25C7</stp>
        <tr r="G25" s="44"/>
      </tp>
      <tp>
        <v>117.523</v>
        <stp/>
        <stp>##V3_BDPV12</stp>
        <stp>IT0004759673 Corp</stp>
        <stp>PX_BID</stp>
        <stp>[NEW BONDS ASW_VINCE2018NIKO.XLSM]CCT!R32C7</stp>
        <tr r="G32" s="44"/>
      </tp>
    </main>
    <main first="pldatasource.rtgetrtdserver">
      <tp>
        <v>100.705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2" s="1"/>
      </tp>
      <tp>
        <v>101.92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158.268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151.65299999999999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103.629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0" s="1"/>
      </tp>
      <tp>
        <v>108.438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100.996</v>
        <stp/>
        <stp xml:space="preserve">	DE114167=_x000F_SECOND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100.18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>
        <v>100.158</v>
        <stp/>
        <stp>##V3_BDPV12</stp>
        <stp>IT0005106049 Corp</stp>
        <stp>PX_ASK</stp>
        <stp>[NEW BONDS ASW_VINCE2018NIKO.XLSM]CCT!R25C9</stp>
        <tr r="I25" s="44"/>
      </tp>
      <tp>
        <v>117.624</v>
        <stp/>
        <stp>##V3_BDPV12</stp>
        <stp>IT0004759673 Corp</stp>
        <stp>PX_ASK</stp>
        <stp>[NEW BONDS ASW_VINCE2018NIKO.XLSM]CCT!R32C9</stp>
        <tr r="I32" s="44"/>
      </tp>
      <tp>
        <v>101.196</v>
        <stp/>
        <stp>##V3_BDPV12</stp>
        <stp>IT0005185456 Corp</stp>
        <stp>PX_BID</stp>
        <stp>[NEW BONDS ASW_VINCE2018NIKO.XLSM]CCT!R12C7</stp>
        <tr r="G12" s="44"/>
      </tp>
    </main>
    <main first="pldatasource.rtgetrtdserver">
      <tp>
        <v>100.18300000000001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5" s="1"/>
      </tp>
      <tp>
        <v>131.61500000000001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99.28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1" s="1"/>
      </tp>
      <tp>
        <v>155.065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8" s="1"/>
      </tp>
      <tp>
        <v>163.542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112.026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101.139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</main>
    <main first="bloomberg.rtd">
      <tp>
        <v>101.045</v>
        <stp/>
        <stp>##V3_BDPV12</stp>
        <stp>IT0005104473 Corp</stp>
        <stp>PX_ASK</stp>
        <stp>[NEW BONDS ASW_VINCE2018NIKO.XLSM]CCT!R10C9</stp>
        <tr r="I10" s="44"/>
      </tp>
      <tp>
        <v>98.122</v>
        <stp/>
        <stp>##V3_BDPV12</stp>
        <stp>IT0005215246 Corp</stp>
        <stp>PX_ASK</stp>
        <stp>[NEW BONDS ASW_VINCE2018NIKO.XLSM]CCT!R36C9</stp>
        <tr r="I36" s="44"/>
      </tp>
      <tp>
        <v>118.111</v>
        <stp/>
        <stp>##V3_BDPV12</stp>
        <stp>IT0004898034 Corp</stp>
        <stp>PX_ASK</stp>
        <stp>[NEW BONDS ASW_VINCE2018NIKO.XLSM]CCT!R35C9</stp>
        <tr r="I35" s="44"/>
      </tp>
      <tp>
        <v>121.107</v>
        <stp/>
        <stp>##V3_BDPV12</stp>
        <stp>IT0004801541 Corp</stp>
        <stp>PX_BID</stp>
        <stp>[NEW BONDS ASW_VINCE2018NIKO.XLSM]CCT!R33C7</stp>
        <tr r="G33" s="44"/>
      </tp>
      <tp>
        <v>99.995999999999995</v>
        <stp/>
        <stp>##V3_BDPV12</stp>
        <stp>IT0005175366 Corp</stp>
        <stp>PX_BID</stp>
        <stp>[NEW BONDS ASW_VINCE2018NIKO.XLSM]CCT!R24C7</stp>
        <tr r="G24" s="44"/>
      </tp>
      <tp>
        <v>101.80500000000001</v>
        <stp/>
        <stp>##V3_BDPV12</stp>
        <stp>IT0004361041 Corp</stp>
        <stp>PX_BID</stp>
        <stp>[NEW BONDS ASW_VINCE2018NIKO.XLSM]CCT!R26C7</stp>
        <tr r="G26" s="44"/>
      </tp>
      <tp>
        <v>101.53100000000001</v>
        <stp/>
        <stp>##V3_BDPV12</stp>
        <stp>IT0005137614 Corp</stp>
        <stp>PX_BID</stp>
        <stp>[NEW BONDS ASW_VINCE2018NIKO.XLSM]CCT!R11C7</stp>
        <tr r="G11" s="44"/>
      </tp>
      <tp>
        <v>123.776</v>
        <stp/>
        <stp>##V3_BDPV12</stp>
        <stp>IT0004513641 Corp</stp>
        <stp>PX_BID</stp>
        <stp>[NEW BONDS ASW_VINCE2018NIKO.XLSM]CCT!R40C7</stp>
        <tr r="G40" s="44"/>
      </tp>
      <tp>
        <v>-0.60099999999999998</v>
        <stp/>
        <stp>##V3_BDPV12</stp>
        <stp>AR2578292 Govt</stp>
        <stp>ASK_YIELD</stp>
        <stp>[NEW BONDS ASW_VINCE2018NIKO.XLSM]Bonds!R6C30</stp>
        <tr r="AD6" s="1"/>
      </tp>
    </main>
    <main first="pldatasource.rtgetrtdserver">
      <tp>
        <v>100.361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  <tp>
        <v>108.446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101.45400000000001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6" s="1"/>
      </tp>
      <tp>
        <v>108.997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8" s="1"/>
      </tp>
      <tp>
        <v>100.935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</main>
    <main first="bloomberg.rtd">
      <tp>
        <v>102.833</v>
        <stp/>
        <stp>##V3_BDPV12</stp>
        <stp>IT0004957574 Corp</stp>
        <stp>PX_ASK</stp>
        <stp>[NEW BONDS ASW_VINCE2018NIKO.XLSM]CCT!R27C9</stp>
        <tr r="I27" s="44"/>
      </tp>
      <tp>
        <v>101.696</v>
        <stp/>
        <stp>##V3_BDPV12</stp>
        <stp>IT0005311508 Corp</stp>
        <stp>PX_BID</stp>
        <stp>[NEW BONDS ASW_VINCE2018NIKO.XLSM]CCT!R15C7</stp>
        <tr r="G15" s="44"/>
      </tp>
    </main>
    <main first="pldatasource.rtgetrtdserver">
      <tp>
        <v>110.788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99.850000000000009</v>
        <stp/>
        <stp xml:space="preserve">	DE110242=_x000F_SECOND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9" s="1"/>
      </tp>
      <tp>
        <v>158.22800000000001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161.209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108.38200000000001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  <tp>
        <v>135.851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101.959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</main>
    <main first="bloomberg.rtd">
      <tp>
        <v>100.181</v>
        <stp/>
        <stp>##V3_BDPV12</stp>
        <stp>IT0005090318 Corp</stp>
        <stp>PX_ASK</stp>
        <stp>[NEW BONDS ASW_VINCE2018NIKO.XLSM]CCT!R41C9</stp>
        <tr r="I41" s="44"/>
      </tp>
      <tp>
        <v>119.23699999999999</v>
        <stp/>
        <stp>##V3_BDPV12</stp>
        <stp>IT0004953417 Corp</stp>
        <stp>PX_ASK</stp>
        <stp>[NEW BONDS ASW_VINCE2018NIKO.XLSM]CCT!R37C9</stp>
        <tr r="I37" s="44"/>
      </tp>
      <tp>
        <v>110.58199999999999</v>
        <stp/>
        <stp>##V3_BDPV12</stp>
        <stp>IT0004634132 Corp</stp>
        <stp>PX_BID</stp>
        <stp>[NEW BONDS ASW_VINCE2018NIKO.XLSM]CCT!R31C7</stp>
        <tr r="G31" s="44"/>
      </tp>
      <tp>
        <v>102.979</v>
        <stp/>
        <stp>##V3_BDPV12</stp>
        <stp>IT0005252520 Corp</stp>
        <stp>PX_BID</stp>
        <stp>[NEW BONDS ASW_VINCE2018NIKO.XLSM]CCT!R14C7</stp>
        <tr r="G14" s="44"/>
      </tp>
      <tp t="s">
        <v>6/11/2018</v>
        <stp/>
        <stp>##V3_BDPV12</stp>
        <stp>IKM8 Comdty</stp>
        <stp>FUT_DLV_DT_LAST</stp>
        <stp>[NEW BONDS ASW_VINCE2018NIKO.XLSM]Bonds!R5C4</stp>
        <tr r="D5" s="1"/>
      </tp>
    </main>
    <main first="pldatasource.rtgetrtdserver">
      <tp>
        <v>100.032</v>
        <stp/>
        <stp xml:space="preserve">	DE110463=_x000F_SECOND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109.812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100.8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145.239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  <tp>
        <v>101.27200000000001</v>
        <stp/>
        <stp xml:space="preserve">	DE114173=_x000F_SECOND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6" s="1"/>
      </tp>
    </main>
    <main first="bloomberg.rtd">
      <tp>
        <v>110.646</v>
        <stp/>
        <stp>##V3_BDPV12</stp>
        <stp>IT0004634132 Corp</stp>
        <stp>PX_ASK</stp>
        <stp>[NEW BONDS ASW_VINCE2018NIKO.XLSM]CCT!R31C9</stp>
        <tr r="I31" s="44"/>
      </tp>
      <tp>
        <v>103.08</v>
        <stp/>
        <stp>##V3_BDPV12</stp>
        <stp>IT0005252520 Corp</stp>
        <stp>PX_ASK</stp>
        <stp>[NEW BONDS ASW_VINCE2018NIKO.XLSM]CCT!R14C9</stp>
        <tr r="I14" s="44"/>
      </tp>
      <tp>
        <v>119.139</v>
        <stp/>
        <stp>##V3_BDPV12</stp>
        <stp>IT0004953417 Corp</stp>
        <stp>PX_BID</stp>
        <stp>[NEW BONDS ASW_VINCE2018NIKO.XLSM]CCT!R37C7</stp>
        <tr r="G37" s="44"/>
      </tp>
      <tp>
        <v>100.086</v>
        <stp/>
        <stp>##V3_BDPV12</stp>
        <stp>IT0005090318 Corp</stp>
        <stp>PX_BID</stp>
        <stp>[NEW BONDS ASW_VINCE2018NIKO.XLSM]CCT!R41C7</stp>
        <tr r="G41" s="44"/>
      </tp>
      <tp t="s">
        <v>4/15/2018</v>
        <stp/>
        <stp>##V3_BDPV12</stp>
        <stp>IT0004716319 Corp</stp>
        <stp>Maturity</stp>
        <stp>[NEW BONDS ASW_VINCE2018NIKO.XLSM]CCT!R6C4</stp>
        <tr r="D6" s="44"/>
      </tp>
    </main>
    <main first="pldatasource.rtgetrtdserver">
      <tp>
        <v>101.176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8" s="1"/>
      </tp>
      <tp>
        <v>107.82900000000001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96.692000000000007</v>
        <stp/>
        <stp xml:space="preserve">	DE110240=_x000F_SECOND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6" s="1"/>
      </tp>
      <tp>
        <v>108.21600000000001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  <tp>
        <v>101.432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7" s="1"/>
      </tp>
    </main>
    <main first="bloomberg.rtd">
      <tp>
        <v>101.79600000000001</v>
        <stp/>
        <stp>##V3_BDPV12</stp>
        <stp>IT0005311508 Corp</stp>
        <stp>PX_ASK</stp>
        <stp>[NEW BONDS ASW_VINCE2018NIKO.XLSM]CCT!R15C9</stp>
        <tr r="I15" s="44"/>
      </tp>
      <tp>
        <v>102.71599999999999</v>
        <stp/>
        <stp>##V3_BDPV12</stp>
        <stp>IT0004957574 Corp</stp>
        <stp>PX_BID</stp>
        <stp>[NEW BONDS ASW_VINCE2018NIKO.XLSM]CCT!R27C7</stp>
        <tr r="G27" s="44"/>
      </tp>
    </main>
    <main first="pldatasource.rtgetrtdserver">
      <tp>
        <v>101.209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107.953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98.212000000000003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106.913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101.22500000000001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</main>
    <main first="bloomberg.rtd">
      <tp>
        <v>106.67100000000001</v>
        <stp/>
        <stp>##V3_BDPV12</stp>
        <stp>IT0004489610 Corp</stp>
        <stp>PX_ASK</stp>
        <stp>[NEW BONDS ASW_VINCE2018NIKO.XLSM]CCT!R28C9</stp>
        <tr r="I28" s="44"/>
      </tp>
      <tp t="s">
        <v>11/1/2018</v>
        <stp/>
        <stp>##V3_BDPV12</stp>
        <stp>IT0004922909 Corp</stp>
        <stp>Maturity</stp>
        <stp>[NEW BONDS ASW_VINCE2018NIKO.XLSM]CCT!R7C4</stp>
        <tr r="D7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</main>
    <main first="bloomberg.rtd">
      <tp>
        <v>121.50700000000001</v>
        <stp/>
        <stp>##V3_BDPV12</stp>
        <stp>IT0004848831 Corp</stp>
        <stp>PX_BID</stp>
        <stp>[NEW BONDS ASW_VINCE2018NIKO.XLSM]CCT!R34C7</stp>
        <tr r="G34" s="44"/>
      </tp>
    </main>
    <main first="pldatasource.rtgetrtdserver"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</main>
    <main first="bloomberg.rtd">
      <tp>
        <v>115.184</v>
        <stp/>
        <stp>##V3_BDPV12</stp>
        <stp>IT0005001547 Corp</stp>
        <stp>PX_BID</stp>
        <stp>[NEW BONDS ASW_VINCE2018NIKO.XLSM]CCT!R38C7</stp>
        <tr r="G38" s="44"/>
      </tp>
    </main>
    <main first="pldatasource.rtgetrtdserver"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>
        <v>-8.5000000000000006E-2</v>
        <stp/>
        <stp>##V3_BDPV12</stp>
        <stp>EJ5066257 Govt</stp>
        <stp>BID_YIELD</stp>
        <stp>[NEW BONDS ASW_VINCE2018NIKO.XLSM]Bonds!R6C37</stp>
        <tr r="AK6" s="1"/>
      </tp>
    </main>
    <main first="bloomberg.rtd">
      <tp>
        <v>115.28700000000001</v>
        <stp/>
        <stp>##V3_BDPV12</stp>
        <stp>IT0005001547 Corp</stp>
        <stp>PX_ASK</stp>
        <stp>[NEW BONDS ASW_VINCE2018NIKO.XLSM]CCT!R38C9</stp>
        <tr r="I38" s="44"/>
      </tp>
      <tp>
        <v>121.61799999999999</v>
        <stp/>
        <stp>##V3_BDPV12</stp>
        <stp>IT0004848831 Corp</stp>
        <stp>PX_ASK</stp>
        <stp>[NEW BONDS ASW_VINCE2018NIKO.XLSM]CCT!R34C9</stp>
        <tr r="I34" s="44"/>
      </tp>
      <tp>
        <v>-0.09</v>
        <stp/>
        <stp>##V3_BDPV12</stp>
        <stp>EJ5066257 Govt</stp>
        <stp>ASK_YIELD</stp>
        <stp>[NEW BONDS ASW_VINCE2018NIKO.XLSM]Bonds!R6C37</stp>
        <tr r="AK6" s="1"/>
      </tp>
    </main>
    <main first="bloomberg.rtd">
      <tp>
        <v>106.57899999999999</v>
        <stp/>
        <stp>##V3_BDPV12</stp>
        <stp>IT0004489610 Corp</stp>
        <stp>PX_BID</stp>
        <stp>[NEW BONDS ASW_VINCE2018NIKO.XLSM]CCT!R28C7</stp>
        <tr r="G28" s="44"/>
      </tp>
      <tp t="s">
        <v>12/15/2020</v>
        <stp/>
        <stp>##V3_BDPV12</stp>
        <stp>IT0005056541 Corp</stp>
        <stp>Maturity</stp>
        <stp>[NEW BONDS ASW_VINCE2018NIKO.XLSM]CCT!R9C4</stp>
        <tr r="D9" s="44"/>
      </tp>
    </main>
    <main first="bloomberg.rtd">
      <tp>
        <v>107.34099999999999</v>
        <stp/>
        <stp>##V3_BDPV12</stp>
        <stp>IT0005045270 Corp</stp>
        <stp>PX_ASK</stp>
        <stp>[NEW BONDS ASW_VINCE2018NIKO.XLSM]CCT!R39C9</stp>
        <tr r="I39" s="44"/>
      </tp>
      <tp>
        <v>109.768</v>
        <stp/>
        <stp>##V3_BDPV12</stp>
        <stp>IT0004594930 Corp</stp>
        <stp>PX_BID</stp>
        <stp>[NEW BONDS ASW_VINCE2018NIKO.XLSM]CCT!R30C7</stp>
        <tr r="G30" s="44"/>
      </tp>
      <tp>
        <v>0.45800000000000002</v>
        <stp/>
        <stp>##V3_BDPV12</stp>
        <stp>AL9975494 Govt</stp>
        <stp>BID_YIELD</stp>
        <stp>[NEW BONDS ASW_VINCE2018NIKO.XLSM]Bonds!R6C38</stp>
        <tr r="AL6" s="1"/>
      </tp>
    </main>
    <main first="bloomberg.rtd">
      <tp>
        <v>101.316</v>
        <stp/>
        <stp>##V3_BDPV12</stp>
        <stp>IT0005218968 Corp</stp>
        <stp>PX_ASK</stp>
        <stp>[NEW BONDS ASW_VINCE2018NIKO.XLSM]CCT!R13C9</stp>
        <tr r="I13" s="44"/>
      </tp>
      <tp>
        <v>102.21</v>
        <stp/>
        <stp>##V3_BDPV12</stp>
        <stp>IT0005069395 Corp</stp>
        <stp>PX_ASK</stp>
        <stp>[NEW BONDS ASW_VINCE2018NIKO.XLSM]CCT!R29C9</stp>
        <tr r="I29" s="44"/>
      </tp>
      <tp t="s">
        <v>11/15/2019</v>
        <stp/>
        <stp>##V3_BDPV12</stp>
        <stp>IT0005009839 Corp</stp>
        <stp>Maturity</stp>
        <stp>[NEW BONDS ASW_VINCE2018NIKO.XLSM]CCT!R8C4</stp>
        <tr r="D8" s="44"/>
      </tp>
    </main>
    <main first="bloomberg.rtd">
      <tp>
        <v>102.14700000000001</v>
        <stp/>
        <stp>##V3_BDPV12</stp>
        <stp>IT0005069395 Corp</stp>
        <stp>PX_BID</stp>
        <stp>[NEW BONDS ASW_VINCE2018NIKO.XLSM]CCT!R29C7</stp>
        <tr r="G29" s="44"/>
      </tp>
      <tp>
        <v>101.19199999999999</v>
        <stp/>
        <stp>##V3_BDPV12</stp>
        <stp>IT0005218968 Corp</stp>
        <stp>PX_BID</stp>
        <stp>[NEW BONDS ASW_VINCE2018NIKO.XLSM]CCT!R13C7</stp>
        <tr r="G13" s="44"/>
      </tp>
    </main>
    <main first="pldatasource.rtgetrtdserver">
      <tp>
        <v>100.884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105.357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141.89600000000002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105.452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130.053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101.626</v>
        <stp/>
        <stp xml:space="preserve">	DE114168=_x000F_SECOND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1" s="1"/>
      </tp>
    </main>
    <main first="bloomberg.rtd">
      <tp>
        <v>109.82899999999999</v>
        <stp/>
        <stp>##V3_BDPV12</stp>
        <stp>IT0004594930 Corp</stp>
        <stp>PX_ASK</stp>
        <stp>[NEW BONDS ASW_VINCE2018NIKO.XLSM]CCT!R30C9</stp>
        <tr r="I30" s="44"/>
      </tp>
    </main>
    <main first="pldatasource.rtgetrtdserver">
      <tp t="s">
        <v>#N/A The record could not be found</v>
        <stp/>
        <stp>_x0001_=_x000F_SECOND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2" s="1"/>
        <tr r="T297" s="1"/>
        <tr r="T296" s="1"/>
        <tr r="T303" s="1"/>
        <tr r="T298" s="1"/>
        <tr r="T291" s="1"/>
        <tr r="T302" s="1"/>
        <tr r="T284" s="1"/>
        <tr r="T258" s="1"/>
        <tr r="T281" s="1"/>
        <tr r="T283" s="1"/>
        <tr r="T288" s="1"/>
        <tr r="T290" s="1"/>
        <tr r="T293" s="1"/>
        <tr r="T279" s="1"/>
        <tr r="T274" s="1"/>
        <tr r="T310" s="1"/>
        <tr r="T273" s="1"/>
        <tr r="T300" s="1"/>
        <tr r="T295" s="1"/>
        <tr r="T263" s="1"/>
        <tr r="T268" s="1"/>
        <tr r="T254" s="1"/>
        <tr r="T259" s="1"/>
        <tr r="T257" s="1"/>
        <tr r="T306" s="1"/>
        <tr r="T305" s="1"/>
        <tr r="T267" s="1"/>
        <tr r="T262" s="1"/>
        <tr r="T251" s="1"/>
        <tr r="T286" s="1"/>
        <tr r="T304" s="1"/>
        <tr r="T253" s="1"/>
        <tr r="T289" s="1"/>
        <tr r="T255" s="1"/>
        <tr r="T250" s="1"/>
        <tr r="T299" s="1"/>
        <tr r="T294" s="1"/>
        <tr r="T285" s="1"/>
        <tr r="T270" s="1"/>
        <tr r="T278" s="1"/>
        <tr r="T256" s="1"/>
        <tr r="T280" s="1"/>
        <tr r="T276" s="1"/>
        <tr r="T287" s="1"/>
        <tr r="T282" s="1"/>
        <tr r="T277" s="1"/>
        <tr r="T272" s="1"/>
        <tr r="T252" s="1"/>
        <tr r="T261" s="1"/>
        <tr r="T269" s="1"/>
        <tr r="T260" s="1"/>
        <tr r="T301" s="1"/>
        <tr r="T307" s="1"/>
        <tr r="T275" s="1"/>
        <tr r="T308" s="1"/>
        <tr r="T265" s="1"/>
        <tr r="T264" s="1"/>
        <tr r="T309" s="1"/>
        <tr r="T271" s="1"/>
        <tr r="T266" s="1"/>
      </tp>
    </main>
    <main first="bloomberg.rtd">
      <tp>
        <v>107.227</v>
        <stp/>
        <stp>##V3_BDPV12</stp>
        <stp>IT0005045270 Corp</stp>
        <stp>PX_BID</stp>
        <stp>[NEW BONDS ASW_VINCE2018NIKO.XLSM]CCT!R39C7</stp>
        <tr r="G39" s="44"/>
      </tp>
      <tp>
        <v>0.45400000000000001</v>
        <stp/>
        <stp>##V3_BDPV12</stp>
        <stp>AL9975494 Govt</stp>
        <stp>ASK_YIELD</stp>
        <stp>[NEW BONDS ASW_VINCE2018NIKO.XLSM]Bonds!R6C38</stp>
        <tr r="AL6" s="1"/>
      </tp>
    </main>
    <main first="pldatasource.rtgetrtdserver">
      <tp>
        <v>101.01</v>
        <stp/>
        <stp xml:space="preserve">	DE110469=_x000F_SECOND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101.274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107.066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107.517</v>
        <stp/>
        <stp xml:space="preserve">	DE113549=_x000F_SECOND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101.298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</tp>
      <tp>
        <v>153.08000000000001</v>
        <stp/>
        <stp>_x0006_FOAT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100.87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97.018000000000001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134.54500000000002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110.495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100.854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100.491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>
        <v>75.115069773978604</v>
        <stp/>
        <stp>##V3_BDPV12</stp>
        <stp>IT0004513641 Corp@CBBT Corp</stp>
        <stp>Z_SPRD_MID</stp>
        <stp>[NEW BONDS ASW_VINCE2018NIKO.XLSM]CCT!R40C10</stp>
        <tr r="J40" s="44"/>
      </tp>
      <tp>
        <v>63.307062211737644</v>
        <stp/>
        <stp>##V3_BDPV12</stp>
        <stp>IT0004953417 Corp@CBBT Corp</stp>
        <stp>Z_SPRD_MID</stp>
        <stp>[NEW BONDS ASW_VINCE2018NIKO.XLSM]CCT!R37C10</stp>
        <tr r="J37" s="44"/>
      </tp>
      <tp t="s">
        <v>5/1/2018</v>
        <stp/>
        <stp>##V3_BDPV12</stp>
        <stp>IT0004922909 Corp</stp>
        <stp>NXT_CPN_DT</stp>
        <stp>[NEW BONDS ASW_VINCE2018NIKO.XLSM]CCT!R7C25</stp>
        <tr r="Y7" s="44"/>
      </tp>
      <tp t="s">
        <v>5/15/2018</v>
        <stp/>
        <stp>##V3_BDPV12</stp>
        <stp>IT0005009839 Corp</stp>
        <stp>NXT_CPN_DT</stp>
        <stp>[NEW BONDS ASW_VINCE2018NIKO.XLSM]CCT!R8C25</stp>
        <tr r="Y8" s="44"/>
      </tp>
    </main>
    <main first="pldatasource.rtgetrtdserver">
      <tp>
        <v>143.17500000000001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162.89600000000002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101.065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105.435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118.99900000000001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</main>
    <main first="bloomberg.rtd">
      <tp>
        <v>63.190740028076128</v>
        <stp/>
        <stp>##V3_BDPV12</stp>
        <stp>IT0005252520 Corp@CBBT Corp</stp>
        <stp>Z_SPRD_MID</stp>
        <stp>[NEW BONDS ASW_VINCE2018NIKO.XLSM]CCT!R14C10</stp>
        <tr r="J14" s="44"/>
      </tp>
    </main>
    <main first="pldatasource.rtgetrtdserver">
      <tp>
        <v>101.652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106.48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166.97300000000001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8" s="1"/>
      </tp>
      <tp>
        <v>137.35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108.28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99.100999999999999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</main>
    <main first="bloomberg.rtd">
      <tp>
        <v>69.83933556069978</v>
        <stp/>
        <stp>##V3_BDPV12</stp>
        <stp>IT0005311508 Corp@CBBT Corp</stp>
        <stp>Z_SPRD_MID</stp>
        <stp>[NEW BONDS ASW_VINCE2018NIKO.XLSM]CCT!R15C10</stp>
        <tr r="J15" s="44"/>
      </tp>
      <tp>
        <v>69.168598679945774</v>
        <stp/>
        <stp>##V3_BDPV12</stp>
        <stp>IT0005001547 Corp@CBBT Corp</stp>
        <stp>Z_SPRD_MID</stp>
        <stp>[NEW BONDS ASW_VINCE2018NIKO.XLSM]CCT!R38C10</stp>
        <tr r="J38" s="44"/>
      </tp>
      <tp>
        <v>37.478842909308867</v>
        <stp/>
        <stp>##V3_BDPV12</stp>
        <stp>IT0004801541 Corp@CBBT Corp</stp>
        <stp>Z_SPRD_MID</stp>
        <stp>[NEW BONDS ASW_VINCE2018NIKO.XLSM]CCT!R33C10</stp>
        <tr r="J33" s="44"/>
      </tp>
      <tp>
        <v>-13.724824174972197</v>
        <stp/>
        <stp>##V3_BDPV12</stp>
        <stp>IT0004361041 Corp@CBBT Corp</stp>
        <stp>Z_SPRD_MID</stp>
        <stp>[NEW BONDS ASW_VINCE2018NIKO.XLSM]CCT!R26C10</stp>
        <tr r="J26" s="44"/>
      </tp>
      <tp>
        <v>180</v>
        <stp/>
        <stp>##V3_BDPV12</stp>
        <stp>IT0004922909 Corp</stp>
        <stp>FLT_SPREAD</stp>
        <stp>[NEW BONDS ASW_VINCE2018NIKO.XLSM]CCT!R7C5</stp>
        <tr r="E7" s="44"/>
      </tp>
    </main>
    <main first="pldatasource.rtgetrtdserver">
      <tp>
        <v>153.06</v>
        <stp/>
        <stp>_x0006_FOAT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101.976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101.836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102.995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106.238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</main>
    <main first="bloomberg.rtd">
      <tp>
        <v>77.728625397952527</v>
        <stp/>
        <stp>##V3_BDPV12</stp>
        <stp>IT0005090318 Corp@CBBT Corp</stp>
        <stp>Z_SPRD_MID</stp>
        <stp>[NEW BONDS ASW_VINCE2018NIKO.XLSM]CCT!R41C10</stp>
        <tr r="J41" s="44"/>
      </tp>
    </main>
    <main first="pldatasource.rtgetrtdserver">
      <tp>
        <v>136.49</v>
        <stp/>
        <stp>_x0006_FBTP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111.88</v>
        <stp/>
        <stp>_x0006_FGB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112.37</v>
        <stp/>
        <stp>_x0006_FBTS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112.39400000000001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155.1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142.07599999999999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100.9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108.462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</main>
    <main first="bloomberg.rtd">
      <tp>
        <v>36.95648653248643</v>
        <stp/>
        <stp>##V3_BDPV12</stp>
        <stp>IT0005137614 Corp@CBBT Corp</stp>
        <stp>Z_SPRD_MID</stp>
        <stp>[NEW BONDS ASW_VINCE2018NIKO.XLSM]CCT!R11C10</stp>
        <tr r="J11" s="44"/>
      </tp>
      <tp>
        <v>-20.644177525181735</v>
        <stp/>
        <stp>##V3_BDPV12</stp>
        <stp>IT0004957574 Corp@CBBT Corp</stp>
        <stp>Z_SPRD_MID</stp>
        <stp>[NEW BONDS ASW_VINCE2018NIKO.XLSM]CCT!R27C10</stp>
        <tr r="J27" s="44"/>
      </tp>
    </main>
    <main first="pldatasource.rtgetrtdserver">
      <tp>
        <v>1.3719999740000002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1.340999987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1.321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0.80800000000000005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-0.35526881700000001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0.89200000000000002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-0.353822574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0.96799999999999997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1.034466468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-0.34904649700000001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1.0924364930000001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-0.34611951700000004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1.1419999920000001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-0.34200000000000003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1.1848617299999999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-0.33683245300000003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1.22169576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-0.33120223300000001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1.252918255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-0.32400000000000001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1.278807461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-0.315472066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1.2999999720000002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-0.306140466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1.316685718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-0.29599999999999999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1.329715113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-0.28490150400000003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1.3396883530000001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-0.27327957600000002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1.347242335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1.3529999800000001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1.3575315670000001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1.3610583040000002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1.3638442500000001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1.366087568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1.3679999940000001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1.3744355400000001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100.4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100.983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114.685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147.82400000000001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100.645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107.021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100.773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</main>
    <main first="bloomberg.rtd">
      <tp>
        <v>-9.9245212400240916</v>
        <stp/>
        <stp>##V3_BDPV12</stp>
        <stp>IT0005106049 Corp@CBBT Corp</stp>
        <stp>Z_SPRD_MID</stp>
        <stp>[NEW BONDS ASW_VINCE2018NIKO.XLSM]CCT!R25C10</stp>
        <tr r="J25" s="44"/>
      </tp>
    </main>
    <main first="pldatasource.rtgetrtdserver">
      <tp>
        <v>104.113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107.61800000000001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160.63400000000001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101.17100000000001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102.80200000000001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124.13500000000001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46.519081036966746</v>
        <stp/>
        <stp>##V3_BDPV12</stp>
        <stp>IT0005185456 Corp@CBBT Corp</stp>
        <stp>Z_SPRD_MID</stp>
        <stp>[NEW BONDS ASW_VINCE2018NIKO.XLSM]CCT!R12C10</stp>
        <tr r="J12" s="44"/>
      </tp>
      <tp>
        <v>54.302383288760396</v>
        <stp/>
        <stp>##V3_BDPV12</stp>
        <stp>IT0005175366 Corp@CBBT Corp</stp>
        <stp>Z_SPRD_MID</stp>
        <stp>[NEW BONDS ASW_VINCE2018NIKO.XLSM]CCT!R24C10</stp>
        <tr r="J24" s="44"/>
      </tp>
      <tp>
        <v>72.712391604574606</v>
        <stp/>
        <stp>##V3_BDPV12</stp>
        <stp>IT0005045270 Corp@CBBT Corp</stp>
        <stp>Z_SPRD_MID</stp>
        <stp>[NEW BONDS ASW_VINCE2018NIKO.XLSM]CCT!R39C10</stp>
        <tr r="J39" s="44"/>
      </tp>
      <tp>
        <v>51.394169306369264</v>
        <stp/>
        <stp>##V3_BDPV12</stp>
        <stp>IT0005215246 Corp@CBBT Corp</stp>
        <stp>Z_SPRD_MID</stp>
        <stp>[NEW BONDS ASW_VINCE2018NIKO.XLSM]CCT!R36C10</stp>
        <tr r="J36" s="44"/>
      </tp>
      <tp>
        <v>120</v>
        <stp/>
        <stp>##V3_BDPV12</stp>
        <stp>IT0005009839 Corp</stp>
        <stp>FLT_SPREAD</stp>
        <stp>[NEW BONDS ASW_VINCE2018NIKO.XLSM]CCT!R8C5</stp>
        <tr r="E8" s="44"/>
      </tp>
    </main>
    <main first="pldatasource.rtgetrtdserver">
      <tp>
        <v>112.38</v>
        <stp/>
        <stp>_x0006_FBT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111.88500000000001</v>
        <stp/>
        <stp>_x0006_FGBS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136.47999999999999</v>
        <stp/>
        <stp>_x0006_FBTP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99.715000000000003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</main>
    <main first="bloomberg.rtd">
      <tp>
        <v>32.104798416555134</v>
        <stp/>
        <stp>##V3_BDPV12</stp>
        <stp>IT0005104473 Corp@CBBT Corp</stp>
        <stp>Z_SPRD_MID</stp>
        <stp>[NEW BONDS ASW_VINCE2018NIKO.XLSM]CCT!R10C10</stp>
        <tr r="J10" s="44"/>
      </tp>
      <tp>
        <v>12.367231719780774</v>
        <stp/>
        <stp>##V3_BDPV12</stp>
        <stp>IT0004634132 Corp@CBBT Corp</stp>
        <stp>Z_SPRD_MID</stp>
        <stp>[NEW BONDS ASW_VINCE2018NIKO.XLSM]CCT!R31C10</stp>
        <tr r="J31" s="44"/>
      </tp>
      <tp>
        <v>54.235872479464824</v>
        <stp/>
        <stp>##V3_BDPV12</stp>
        <stp>IT0005218968 Corp@CBBT Corp</stp>
        <stp>ASSET_SWAP_SPD_MID</stp>
        <stp>[NEW BONDS ASW_VINCE2018NIKO.XLSM]CCT!R13C11</stp>
        <tr r="K13" s="44"/>
      </tp>
      <tp>
        <v>7.2470985704054716</v>
        <stp/>
        <stp>##V3_BDPV12</stp>
        <stp>IT0004594930 Corp@CBBT Corp</stp>
        <stp>Z_SPRD_MID</stp>
        <stp>[NEW BONDS ASW_VINCE2018NIKO.XLSM]CCT!R30C10</stp>
        <tr r="J30" s="44"/>
      </tp>
      <tp>
        <v>100</v>
        <stp/>
        <stp>##V3_BDPV12</stp>
        <stp>IT0004716319 Corp</stp>
        <stp>FLT_SPREAD</stp>
        <stp>[NEW BONDS ASW_VINCE2018NIKO.XLSM]CCT!R6C5</stp>
        <tr r="E6" s="44"/>
      </tp>
    </main>
    <main first="pldatasource.rtgetrtdserver">
      <tp>
        <v>106.85600000000001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</main>
    <main first="bloomberg.rtd">
      <tp>
        <v>38.674553833655082</v>
        <stp/>
        <stp>##V3_BDPV12</stp>
        <stp>IT0005137614 Corp@CBBT Corp</stp>
        <stp>ASSET_SWAP_SPD_MID</stp>
        <stp>[NEW BONDS ASW_VINCE2018NIKO.XLSM]CCT!R11C11</stp>
        <tr r="K11" s="44"/>
      </tp>
      <tp>
        <v>80</v>
        <stp/>
        <stp>##V3_BDPV12</stp>
        <stp>IT0005056541 Corp</stp>
        <stp>FLT_SPREAD</stp>
        <stp>[NEW BONDS ASW_VINCE2018NIKO.XLSM]CCT!R9C5</stp>
        <tr r="E9" s="44"/>
      </tp>
    </main>
    <main first="pldatasource.rtgetrtdserver">
      <tp>
        <v>105.63200000000001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99.376999999999995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109.072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  <tp>
        <v>105.41200000000001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</main>
    <main first="bloomberg.rtd">
      <tp>
        <v>29.983875084389872</v>
        <stp/>
        <stp>##V3_BDPV12</stp>
        <stp>IT0004759673 Corp@CBBT Corp</stp>
        <stp>Z_SPRD_MID</stp>
        <stp>[NEW BONDS ASW_VINCE2018NIKO.XLSM]CCT!R32C10</stp>
        <tr r="J32" s="44"/>
      </tp>
      <tp>
        <v>-7.8596748545901294</v>
        <stp/>
        <stp>##V3_BDPV12</stp>
        <stp>IT0004489610 Corp@CBBT Corp</stp>
        <stp>Z_SPRD_MID</stp>
        <stp>[NEW BONDS ASW_VINCE2018NIKO.XLSM]CCT!R28C10</stp>
        <tr r="J28" s="44"/>
      </tp>
      <tp>
        <v>47.302646339168852</v>
        <stp/>
        <stp>##V3_BDPV12</stp>
        <stp>IT0005185456 Corp@CBBT Corp</stp>
        <stp>ASSET_SWAP_SPD_MID</stp>
        <stp>[NEW BONDS ASW_VINCE2018NIKO.XLSM]CCT!R12C11</stp>
        <tr r="K12" s="44"/>
      </tp>
      <tp>
        <v>-2.7006743677378973</v>
        <stp/>
        <stp>##V3_BDPV12</stp>
        <stp>IT0005069395 Corp@CBBT Corp</stp>
        <stp>Z_SPRD_MID</stp>
        <stp>[NEW BONDS ASW_VINCE2018NIKO.XLSM]CCT!R29C10</stp>
        <tr r="J29" s="44"/>
      </tp>
      <tp t="s">
        <v>4/15/2018</v>
        <stp/>
        <stp>##V3_BDPV12</stp>
        <stp>IT0004716319 Corp</stp>
        <stp>NXT_CPN_DT</stp>
        <stp>[NEW BONDS ASW_VINCE2018NIKO.XLSM]CCT!R6C25</stp>
        <tr r="Y6" s="44"/>
      </tp>
      <tp>
        <v>33.25002795738795</v>
        <stp/>
        <stp>##V3_BDPV12</stp>
        <stp>IT0005104473 Corp@CBBT Corp</stp>
        <stp>ASSET_SWAP_SPD_MID</stp>
        <stp>[NEW BONDS ASW_VINCE2018NIKO.XLSM]CCT!R10C11</stp>
        <tr r="K10" s="44"/>
      </tp>
      <tp>
        <v>48.312061395723418</v>
        <stp/>
        <stp>##V3_BDPV12</stp>
        <stp>IT0004898034 Corp@CBBT Corp</stp>
        <stp>Z_SPRD_MID</stp>
        <stp>[NEW BONDS ASW_VINCE2018NIKO.XLSM]CCT!R35C10</stp>
        <tr r="J35" s="44"/>
      </tp>
      <tp>
        <v>53.731872950284867</v>
        <stp/>
        <stp>##V3_BDPV12</stp>
        <stp>IT0005218968 Corp@CBBT Corp</stp>
        <stp>Z_SPRD_MID</stp>
        <stp>[NEW BONDS ASW_VINCE2018NIKO.XLSM]CCT!R13C10</stp>
        <tr r="J13" s="44"/>
      </tp>
      <tp>
        <v>42.195114344211774</v>
        <stp/>
        <stp>##V3_BDPV12</stp>
        <stp>IT0004848831 Corp@CBBT Corp</stp>
        <stp>Z_SPRD_MID</stp>
        <stp>[NEW BONDS ASW_VINCE2018NIKO.XLSM]CCT!R34C10</stp>
        <tr r="J34" s="44"/>
      </tp>
    </main>
    <main first="pldatasource.rtgetrtdserver">
      <tp>
        <v>1.3719999740000002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1.340999987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1.321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-0.34904649700000001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1.034466468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0.96799999999999997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-0.353822574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0.89200000000000002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-0.35526881700000001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0.80800000000000005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-0.33120223300000001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1.22169576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-0.33683245300000003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1.1848617299999999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-0.34200000000000003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1.1419999920000001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-0.34611951700000004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1.0924364930000001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-0.315472066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1.278807461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-0.32400000000000001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1.252918255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-0.27327957600000002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1.3396883530000001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-0.28490150400000003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1.329715113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-0.29599999999999999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1.316685718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-0.306140466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1.2999999720000002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1.3610583040000002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1.3575315670000001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1.3529999800000001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1.347242335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1.366087568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1.3638442500000001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1.3679999940000001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1.3744355400000001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</main>
    <main first="bloomberg.rtd">
      <tp t="s">
        <v>6/15/2018</v>
        <stp/>
        <stp>##V3_BDPV12</stp>
        <stp>IT0005056541 Corp</stp>
        <stp>NXT_CPN_DT</stp>
        <stp>[NEW BONDS ASW_VINCE2018NIKO.XLSM]CCT!R9C25</stp>
        <tr r="Y9" s="44"/>
      </tp>
    </main>
    <main first="pldatasource.rtgetrtdserver">
      <tp>
        <v>149.43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112.864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108.673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  <tp>
        <v>112.637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109.47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  <tp>
        <v>117.71300000000001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  <tp>
        <v>99.596000000000004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123.137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</main>
    <main first="bloomberg.rtd">
      <tp>
        <v>66.898744577716187</v>
        <stp/>
        <stp>##V3_BDPV12</stp>
        <stp>IT0005252520 Corp@CBBT Corp</stp>
        <stp>ASSET_SWAP_SPD_MID</stp>
        <stp>[NEW BONDS ASW_VINCE2018NIKO.XLSM]CCT!R14C11</stp>
        <tr r="K14" s="44"/>
      </tp>
    </main>
    <main first="pldatasource.rtgetrtdserver">
      <tp>
        <v>112.527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163.50900000000001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98.707000000000008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</main>
    <main first="bloomberg.rtd">
      <tp>
        <v>71.770099584473883</v>
        <stp/>
        <stp>##V3_BDPV12</stp>
        <stp>IT0005311508 Corp@CBBT Corp</stp>
        <stp>ASSET_SWAP_SPD_MID</stp>
        <stp>[NEW BONDS ASW_VINCE2018NIKO.XLSM]CCT!R15C11</stp>
        <tr r="K15" s="44"/>
      </tp>
    </main>
    <main first="pldatasource.rtgetrtdserver">
      <tp>
        <v>100.361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</main>
    <main first="bloomberg.rtd">
      <tp>
        <v>59.840561210292819</v>
        <stp/>
        <stp>##V3_BDPV12</stp>
        <stp>IT0004922909 Corp@CBBT Corp</stp>
        <stp>ASSET_SWAP_SPD_MID</stp>
        <stp>[NEW BONDS ASW_VINCE2018NIKO.XLSM]CCT!R7C11</stp>
        <tr r="K7" s="44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>
        <v>19.32269587186244</v>
        <stp/>
        <stp>##V3_BDPV12</stp>
        <stp>IT0005009839 Corp@CBBT Corp</stp>
        <stp>ASSET_SWAP_SPD_MID</stp>
        <stp>[NEW BONDS ASW_VINCE2018NIKO.XLSM]CCT!R8C11</stp>
        <tr r="K8" s="44"/>
      </tp>
      <tp>
        <v>83.092463945054462</v>
        <stp/>
        <stp>##V3_BDPV12</stp>
        <stp>IT0004716319 Corp@CBBT Corp</stp>
        <stp>ASSET_SWAP_SPD_MID</stp>
        <stp>[NEW BONDS ASW_VINCE2018NIKO.XLSM]CCT!R6C11</stp>
        <tr r="K6" s="44"/>
      </tp>
      <tp>
        <v>1.524</v>
        <stp/>
        <stp>##V3_BDPV12</stp>
        <stp>IT0004922909 Corp</stp>
        <stp>CPN</stp>
        <stp>[NEW BONDS ASW_VINCE2018NIKO.XLSM]CCT!R7C6</stp>
        <tr r="F7" s="44"/>
      </tp>
      <tp t="s">
        <v>3/20/2018</v>
        <stp/>
        <stp>##V3_BDPV12</stp>
        <stp>IT0005185456 Corp</stp>
        <stp>SETTLE_DT</stp>
        <stp>[NEW BONDS ASW_VINCE2018NIKO.XLSM]CCT!R1C27</stp>
        <tr r="AA1" s="44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>
        <v>11.54071521034575</v>
        <stp/>
        <stp>##V3_BDPV12</stp>
        <stp>IT0005056541 Corp@CBBT Corp</stp>
        <stp>Z_SPRD_MID</stp>
        <stp>[NEW BONDS ASW_VINCE2018NIKO.XLSM]CCT!R9C10</stp>
        <tr r="J9" s="44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</main>
    <main first="bloomberg.rtd">
      <tp>
        <v>0.52700000000000002</v>
        <stp/>
        <stp>##V3_BDPV12</stp>
        <stp>IT0005056541 Corp</stp>
        <stp>CPN</stp>
        <stp>[NEW BONDS ASW_VINCE2018NIKO.XLSM]CCT!R9C6</stp>
        <tr r="F9" s="44"/>
      </tp>
    </main>
    <main first="marketviewexcelplugin.mkvxp">
      <tp t="e">
        <v>#REF!</v>
        <stp/>
        <stp>0</stp>
        <stp>EUR.CM_DEPTH.VMO_REPO.IT0005252520_SN_Fixed</stp>
        <stp>VolumeMarket</stp>
        <tr r="N14" s="44"/>
      </tp>
    </main>
    <main first="pldatasource.rtgetrtdserver">
      <tp>
        <v>158.12</v>
        <stp/>
        <stp>_x0006_FGBL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>
        <v>-12.15955647930533</v>
        <stp/>
        <stp>##V3_BDPV12</stp>
        <stp>IT0004922909 Corp@CBBT Corp</stp>
        <stp>Z_SPRD_MID</stp>
        <stp>[NEW BONDS ASW_VINCE2018NIKO.XLSM]CCT!R7C10</stp>
        <tr r="J7" s="44"/>
      </tp>
    </main>
    <main first="pldatasource.rtgetrtdserver">
      <tp>
        <v>130.66</v>
        <stp/>
        <stp>_x0006_FGBMM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>
        <v>-8.3207309581520761</v>
        <stp/>
        <stp>##V3_BDPV12</stp>
        <stp>IT0004716319 Corp@CBBT Corp</stp>
        <stp>Z_SPRD_MID</stp>
        <stp>[NEW BONDS ASW_VINCE2018NIKO.XLSM]CCT!R6C10</stp>
        <tr r="J6" s="44"/>
      </tp>
    </main>
    <main first="pldatasource.rtgetrtdserver">
      <tp>
        <v>143.53</v>
        <stp/>
        <stp xml:space="preserve">
IT36665=TT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130.65</v>
        <stp/>
        <stp>_x0006_FGBM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>
        <v>-0.75894566838012145</v>
        <stp/>
        <stp>##V3_BDPV12</stp>
        <stp>IT0005009839 Corp@CBBT Corp</stp>
        <stp>Z_SPRD_MID</stp>
        <stp>[NEW BONDS ASW_VINCE2018NIKO.XLSM]CCT!R8C10</stp>
        <tr r="J8" s="44"/>
      </tp>
      <tp>
        <v>0.92500000000000004</v>
        <stp/>
        <stp>##V3_BDPV12</stp>
        <stp>IT0005009839 Corp</stp>
        <stp>CPN</stp>
        <stp>[NEW BONDS ASW_VINCE2018NIKO.XLSM]CCT!R8C6</stp>
        <tr r="F8" s="44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</main>
    <main first="pldatasource.rtgetrtdserver">
      <tp>
        <v>158.11000000000001</v>
        <stp/>
        <stp>_x0006_FGBLM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  <tp t="e">
        <v>#REF!</v>
        <stp/>
        <stp>0</stp>
        <stp>EUR.CM_DEPTH.VMO_REPO.IT0005185456_SN_Fixed</stp>
        <stp>VolumeMarket</stp>
        <tr r="N12" s="44"/>
      </tp>
    </main>
    <main first="bloomberg.rtd">
      <tp>
        <v>17.064947462657248</v>
        <stp/>
        <stp>##V3_BDPV12</stp>
        <stp>IT0005056541 Corp@CBBT Corp</stp>
        <stp>ASSET_SWAP_SPD_MID</stp>
        <stp>[NEW BONDS ASW_VINCE2018NIKO.XLSM]CCT!R9C11</stp>
        <tr r="K9" s="44"/>
      </tp>
      <tp>
        <v>0.72599999999999998</v>
        <stp/>
        <stp>##V3_BDPV12</stp>
        <stp>IT0004716319 Corp</stp>
        <stp>CPN</stp>
        <stp>[NEW BONDS ASW_VINCE2018NIKO.XLSM]CCT!R6C6</stp>
        <tr r="F6" s="44"/>
      </tp>
    </main>
    <main first="pldatasource.rtgetrtdserver">
      <tp>
        <v>102.77500000000001</v>
        <stp/>
        <stp>_x000B_IT495757=TT_x000F_SECOND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100.80200000000001</v>
        <stp/>
        <stp>_x000B_IT490784=TT_x000F_SECOND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120.81</v>
        <stp/>
        <stp>_x000B_IT393465=TT_x000F_SECOND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121.29</v>
        <stp/>
        <stp>_x000B_IT480154=TT_x000F_SECOND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118.2</v>
        <stp/>
        <stp>_x000B_IT489803=TT_x000F_SECOND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125.71000000000001</v>
        <stp/>
        <stp>_x000B_IT488903=TT_x000F_SECOND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121.72</v>
        <stp/>
        <stp>_x000B_IT484883=TT_x000F_SECOND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100.09</v>
        <stp/>
        <stp>_x000B_IT521649=TT_x000F_SECOND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92</v>
        <stp/>
        <stp>_x000B_IT521739=TT_x000F_SECOND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>
        <v>102.69</v>
        <stp/>
        <stp>_x000B_IT524478=TT_x000F_SECOND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100.342</v>
        <stp/>
        <stp>_x000B_IT522128=TT_x000F_SECOND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103.23400000000001</v>
        <stp/>
        <stp>_x000B_IT499230=TT_x000F_SECOND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110.97</v>
        <stp/>
        <stp>_x000B_IT496640=TT_x000F_SECOND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102.19</v>
        <stp/>
        <stp>_x000B_IT506939=TT_x000F_SECOND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103.12</v>
        <stp/>
        <stp>_x000B_IT512708=TT_x000F_SECOND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92.3</v>
        <stp/>
        <stp>_x000B_IT509408=TT_x000F_SECOND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103.23</v>
        <stp/>
        <stp>_x000B_IT508688=TT_x000F_SECOND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100.76</v>
        <stp/>
        <stp>_x000B_IT517559=TT_x000F_SECOND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119.4</v>
        <stp/>
        <stp>_x000B_IT495341=TT_x000F_SECOND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100.416</v>
        <stp/>
        <stp>_x000B_IT513909=TT_x000F_SECOND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100.01</v>
        <stp/>
        <stp>_x000B_IT517536=TT_x000F_SECOND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101.858</v>
        <stp/>
        <stp>_x000B_IT436104=TT_x000F_SECOND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120.10000000000001</v>
        <stp/>
        <stp>_x000B_IT435684=TT_x000F_SECOND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100.22</v>
        <stp/>
        <stp>_x000B_IT524035=TT_x000F_SECOND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107.48</v>
        <stp/>
        <stp>_x000B_IT504527=TT_x000F_SECOND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100.58</v>
        <stp/>
        <stp>_x000B_IT532594=TT_x000F_SECOND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96.210000000000008</v>
        <stp/>
        <stp>_x000B_IT521065=TT_x000F_SECOND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111.61</v>
        <stp/>
        <stp>_x000B_IT400967=TT_x000F_SECOND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109.82000000000001</v>
        <stp/>
        <stp>_x000B_IT459493=TT_x000F_SECOND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100.39</v>
        <stp/>
        <stp>_x000B_IT528504=TT_x000F_SECOND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144.38</v>
        <stp/>
        <stp>_x000B_IT108656=TT_x000F_SECOND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100.55</v>
        <stp/>
        <stp>_x000B_IT517727=TT_x000F_SECOND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101.15</v>
        <stp/>
        <stp>_x000B_IT527744=TT_x000F_SECOND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100.9</v>
        <stp/>
        <stp>_x000B_IT525094=TT_x000F_SECOND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103.95</v>
        <stp/>
        <stp>_x000B_IT524634=TT_x000F_SECOND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98.210000000000008</v>
        <stp/>
        <stp>_x000B_IT521524=TT_x000F_SECOND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0.23400000000000001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-0.35748981400000002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-0.35797874500000004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0.374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7.5999999999999998E-2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-0.35702731200000004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-0.35835727100000003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-0.35835727100000003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-0.35702731200000004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7.5999999999999998E-2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0.374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-0.35797874500000004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-0.35748981400000002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0.23400000000000001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-0.35195380200000004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-0.36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-0.36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-0.35499999999999998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-0.26199999300000004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-0.358940651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-0.35799999999999998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-9.8000000000000004E-2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-9.8000000000000004E-2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-0.35799999999999998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-0.358940651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-0.26199999300000004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-0.35499999999999998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-0.36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-0.36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-0.35195380200000004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0.71599999999999997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-0.35623333600000001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0.61199999999999999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-0.35669616900000001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-0.35669616900000001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0.61199999999999999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-0.35623333600000001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0.71599999999999997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107.43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100.34400000000001</v>
        <stp/>
        <stp>_x000B_IT528927=TT_x000F_SECOND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106.63</v>
        <stp/>
        <stp>_x000B_IT448961=TT_x000F_SECOND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100.414</v>
        <stp/>
        <stp>_x000B_IT525647=TT_x000F_SECOND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101.59</v>
        <stp/>
        <stp>_x000B_IT514214=TT_x000F_SECOND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121.74000000000001</v>
        <stp/>
        <stp>_x000B_IT464473=TT_x000F_SECOND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110.66</v>
        <stp/>
        <stp>_x000B_IT463413=TT_x000F_SECOND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103.44</v>
        <stp/>
        <stp>_x000B_IT513584=TT_x000F_SECOND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100.113</v>
        <stp/>
        <stp>_x000B_IT510604=TT_x000F_SECOND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-0.36399999999999999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-0.36399999999999999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136.34</v>
        <stp/>
        <stp>_x000B_IT428696=TT_x000F_SECOND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115.42</v>
        <stp/>
        <stp>_x000B_IT500154=TT_x000F_SECOND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100.64</v>
        <stp/>
        <stp>_x000B_IT517232=TT_x000F_SECOND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109.73</v>
        <stp/>
        <stp>_x000B_IT527301=TT_x000F_SECOND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"/>
      </tp>
      <tp>
        <v>132.15</v>
        <stp/>
        <stp>_x000B_IT127851=TT_x000F_SECOND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96.67</v>
        <stp/>
        <stp>_x000B_IT516282=TT_x000F_SECOND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142.18</v>
        <stp/>
        <stp>_x000B_IT144437=TT_x000F_SECOND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113.49000000000001</v>
        <stp/>
        <stp>_x000B_IT502423=TT_x000F_SECOND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99.89</v>
        <stp/>
        <stp>_x000B_IT532730=TT_x000F_SECOND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100.47500000000001</v>
        <stp/>
        <stp>_x000B_ES000012B3=_x000F_SECOND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0" s="1"/>
      </tp>
      <tp>
        <v>105.31100000000001</v>
        <stp/>
        <stp>_x000B_ES000012B4=_x000F_SECOND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1" s="1"/>
      </tp>
      <tp>
        <v>100.723</v>
        <stp/>
        <stp>_x000B_ES000012A9=_x000F_SECOND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6" s="1"/>
      </tp>
      <tp>
        <v>101.593</v>
        <stp/>
        <stp>_x000B_ES000012A8=_x000F_SECOND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9" s="1"/>
      </tp>
      <tp>
        <v>110.904</v>
        <stp/>
        <stp>_x000B_ES0000128C=_x000F_SECOND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0" s="1"/>
      </tp>
      <tp>
        <v>102.634</v>
        <stp/>
        <stp>_x000B_ES0000128B=_x000F_SECOND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</tp>
      <tp>
        <v>100.628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120.468</v>
        <stp/>
        <stp>_x000B_ES0000128E=_x000F_SECOND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2" s="1"/>
      </tp>
      <tp>
        <v>101.523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100.946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106.602</v>
        <stp/>
        <stp>_x000B_ES0000128Q=_x000F_SECOND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5" s="1"/>
      </tp>
      <tp>
        <v>102.59100000000001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100.364</v>
        <stp/>
        <stp>_x000B_ES0000128X=_x000F_SECOND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"/>
      </tp>
      <tp>
        <v>134.91800000000001</v>
        <stp/>
        <stp>_x000B_ES00001293=_x000F_SECOND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6" s="1"/>
      </tp>
      <tp>
        <v>103.2</v>
        <stp/>
        <stp>_x000B_ES0000126C=_x000F_SECOND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113.143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99.48</v>
        <stp/>
        <stp>_x000B_IT517083=TT_x000F_SECOND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101.64</v>
        <stp/>
        <stp>_x000B_IT527480=TT_x000F_SECOND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105.428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104.172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108.864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100.13</v>
        <stp/>
        <stp>_x000B_ES0000127D=_x000F_SECOND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103.16</v>
        <stp/>
        <stp>_x000B_ES0000127H=_x000F_SECOND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106.98400000000001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137.149</v>
        <stp/>
        <stp>_x000B_ES0000124C=_x000F_SECOND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1"/>
      </tp>
      <tp>
        <v>102.709</v>
        <stp/>
        <stp>_x000B_ES0000124B=_x000F_SECOND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156.73699999999999</v>
        <stp/>
        <stp>_x000B_ES0000124H=_x000F_SECOND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9" s="1"/>
      </tp>
      <tp>
        <v>118.9</v>
        <stp/>
        <stp>_x000B_ES0000124W=_x000F_SECOND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103.604</v>
        <stp/>
        <stp>_x000B_ES0000124V=_x000F_SECOND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151.88300000000001</v>
        <stp/>
        <stp>_x000B_ES00001241=_x000F_SECOND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4" s="1"/>
      </tp>
      <tp>
        <v>127.146</v>
        <stp/>
        <stp>_x000B_ES0000122E=_x000F_SECOND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3" s="1"/>
      </tp>
      <tp>
        <v>108.956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113.13500000000001</v>
        <stp/>
        <stp>_x000B_ES0000122T=_x000F_SECOND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"/>
      </tp>
      <tp>
        <v>138.63400000000001</v>
        <stp/>
        <stp>_x000B_ES0000123C=_x000F_SECOND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6" s="1"/>
      </tp>
      <tp>
        <v>117.33200000000001</v>
        <stp/>
        <stp>_x000B_ES0000123B=_x000F_SECOND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  <tp>
        <v>122.288</v>
        <stp/>
        <stp>_x000B_ES0000123K=_x000F_SECOND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124.37100000000001</v>
        <stp/>
        <stp>_x000B_ES0000123U=_x000F_SECOND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121.54600000000001</v>
        <stp/>
        <stp>_x000B_ES0000123X=_x000F_SECOND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148.893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101.67</v>
        <stp/>
        <stp>_x000B_ES0000121A=_x000F_SECOND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124.37400000000001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107.49300000000001</v>
        <stp/>
        <stp>_x000B_ES0000121O=_x000F_SECOND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106.79600000000001</v>
        <stp/>
        <stp>_x000B_ES0000121L=_x000F_SECOND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146.34700000000001</v>
        <stp/>
        <stp>_x000B_ES0000121S=_x000F_SECOND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8" s="1"/>
      </tp>
      <tp>
        <v>100.32000000000001</v>
        <stp/>
        <stp>_x000B_IT509031=TT_x000F_SECOND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104.089</v>
        <stp/>
        <stp>_x000B_IT349325=TT_x000F_SECOND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115.24000000000001</v>
        <stp/>
        <stp>_x000B_IT469507=TT_x000F_SECOND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146.55500000000001</v>
        <stp/>
        <stp>_x000B_ES00001186=_x000F_SECOND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1"/>
      </tp>
      <tp>
        <v>95.34</v>
        <stp/>
        <stp>_x000B_IT517790=TT_x000F_SECOND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103.15</v>
        <stp/>
        <stp>_x000B_IT524083=TT_x000F_SECOND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108.61</v>
        <stp/>
        <stp>_x000B_IT453694=TT_x000F_SECOND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103.66</v>
        <stp/>
        <stp>_x000B_IT532132=TT_x000F_SECOND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104.69</v>
        <stp/>
        <stp>_x000B_IT442395=TT_x000F_SECOND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124.05</v>
        <stp/>
        <stp>_x000B_IT451364=TT_x000F_SECOND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101.69</v>
        <stp/>
        <stp>_x000B_IT510770=TT_x000F_SECOND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100.82000000000001</v>
        <stp/>
        <stp>_x000B_IT528252=TT_x000F_SECOND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140.93</v>
        <stp/>
        <stp>_x000B_IT117461=TT_x000F_SECOND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141.61000000000001</v>
        <stp/>
        <stp>_x000B_IT325682=TT_x000F_SECOND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117.68</v>
        <stp/>
        <stp>_x000B_IT475967=TT_x000F_SECOND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108.79</v>
        <stp/>
        <stp>_x000B_IT364476=TT_x000F_SECOND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102.532</v>
        <stp/>
        <stp>_x000B_IT503050=TT_x000F_SECOND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136.04</v>
        <stp/>
        <stp>_x000B_IT453255=TT_x000F_SECOND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133.9</v>
        <stp/>
        <stp>_x000B_IT353515=TT_x000F_SECOND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100.51</v>
        <stp/>
        <stp>_x000B_IT532303=TT_x000F_SECOND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134.17000000000002</v>
        <stp/>
        <stp>_x000B_IT492399=TT_x000F_SECOND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106.47</v>
        <stp/>
        <stp>_x000B_IT502800=TT_x000F_SECOND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100.5</v>
        <stp/>
        <stp>_x000B_IT521792=TT_x000F_SECOND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1.347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1.387641554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1.299095525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1.4217797210000001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1.4217797210000001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1.299095525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1.387641554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1.347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1.102012786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1.177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1.0170000000000001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1.242218797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1.242218797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1.0170000000000001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1.177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1.102012786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1.4729412800000001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1.4501888920000001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1.4501888920000001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1.4729412800000001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1.5310000000000001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1.533040972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1.527980576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1.5344274010000001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1.5344274010000001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1.527980576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1.533040972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1.5310000000000001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1.5048417590000001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1.5154516530000002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1.4910000000000001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1.522952037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1.522952037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1.4910000000000001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1.5154516530000002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1.5048417590000001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1.53582223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1.5353449990000001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1.5353449990000001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1.53582223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1.5330000000000001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1.5315809440000001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1.5341048720000001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1.5297946180000002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1.5297946180000002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1.5341048720000001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1.5315809440000001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1.5330000000000001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1.5357923440000001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1.5354175480000001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1.536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1.5348372170000002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1.5348372170000002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1.536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1.5354175480000001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1.5357923440000001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1.525095842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1.5277101690000001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1.5277101690000001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1.525095842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1.522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1.522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1.4790000000000001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1.4790000000000001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1.45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1.45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-4.6870774984526711E-3</c:v>
                </c:pt>
                <c:pt idx="1">
                  <c:v>-4.6526467305210177E-3</c:v>
                </c:pt>
                <c:pt idx="2">
                  <c:v>-4.6200652220478077E-3</c:v>
                </c:pt>
                <c:pt idx="3">
                  <c:v>-4.5858105793106169E-3</c:v>
                </c:pt>
                <c:pt idx="4">
                  <c:v>-4.5508002475911922E-3</c:v>
                </c:pt>
                <c:pt idx="5">
                  <c:v>-4.5113499116173628E-3</c:v>
                </c:pt>
                <c:pt idx="6">
                  <c:v>-4.4672004977093114E-3</c:v>
                </c:pt>
                <c:pt idx="7">
                  <c:v>-4.4186943750445717E-3</c:v>
                </c:pt>
                <c:pt idx="8">
                  <c:v>-4.3612475089546141E-3</c:v>
                </c:pt>
                <c:pt idx="9">
                  <c:v>-4.2912757598423147E-3</c:v>
                </c:pt>
                <c:pt idx="10">
                  <c:v>-4.1962929019713543E-3</c:v>
                </c:pt>
                <c:pt idx="11">
                  <c:v>-4.081571042684422E-3</c:v>
                </c:pt>
                <c:pt idx="12">
                  <c:v>-3.9638414562644915E-3</c:v>
                </c:pt>
                <c:pt idx="13">
                  <c:v>-3.8210386512449609E-3</c:v>
                </c:pt>
                <c:pt idx="14">
                  <c:v>-3.664616460828129E-3</c:v>
                </c:pt>
                <c:pt idx="15">
                  <c:v>-3.4749470260812204E-3</c:v>
                </c:pt>
                <c:pt idx="16">
                  <c:v>-3.2692961979398898E-3</c:v>
                </c:pt>
                <c:pt idx="17">
                  <c:v>-3.0393257095589141E-3</c:v>
                </c:pt>
                <c:pt idx="18">
                  <c:v>-2.7970641335585029E-3</c:v>
                </c:pt>
                <c:pt idx="19">
                  <c:v>-2.5561131994550051E-3</c:v>
                </c:pt>
                <c:pt idx="20">
                  <c:v>-2.3057813000057197E-3</c:v>
                </c:pt>
                <c:pt idx="21">
                  <c:v>-2.0523682629131298E-3</c:v>
                </c:pt>
                <c:pt idx="22">
                  <c:v>-1.7649445747171181E-3</c:v>
                </c:pt>
                <c:pt idx="23">
                  <c:v>-1.4632359498571643E-3</c:v>
                </c:pt>
                <c:pt idx="24">
                  <c:v>-1.1787183645030725E-3</c:v>
                </c:pt>
                <c:pt idx="25">
                  <c:v>-8.8354128310149218E-4</c:v>
                </c:pt>
                <c:pt idx="26">
                  <c:v>-6.1779022000435892E-4</c:v>
                </c:pt>
                <c:pt idx="27">
                  <c:v>-3.7560677033560282E-4</c:v>
                </c:pt>
                <c:pt idx="28">
                  <c:v>-1.7476461914831464E-4</c:v>
                </c:pt>
                <c:pt idx="29">
                  <c:v>1.640672011839412E-5</c:v>
                </c:pt>
                <c:pt idx="30">
                  <c:v>2.1169847455469412E-4</c:v>
                </c:pt>
                <c:pt idx="31">
                  <c:v>4.243744924101111E-4</c:v>
                </c:pt>
                <c:pt idx="32">
                  <c:v>6.8952966837091062E-4</c:v>
                </c:pt>
                <c:pt idx="33">
                  <c:v>9.8675472009704932E-4</c:v>
                </c:pt>
                <c:pt idx="34">
                  <c:v>1.3142838896202554E-3</c:v>
                </c:pt>
                <c:pt idx="35">
                  <c:v>1.6404763280971132E-3</c:v>
                </c:pt>
                <c:pt idx="36">
                  <c:v>1.915397474033675E-3</c:v>
                </c:pt>
                <c:pt idx="37">
                  <c:v>2.1774155965953875E-3</c:v>
                </c:pt>
                <c:pt idx="38">
                  <c:v>2.3798569616995859E-3</c:v>
                </c:pt>
                <c:pt idx="39">
                  <c:v>2.5555785949049684E-3</c:v>
                </c:pt>
                <c:pt idx="40">
                  <c:v>2.7094998499309518E-3</c:v>
                </c:pt>
                <c:pt idx="41">
                  <c:v>2.8687780422104203E-3</c:v>
                </c:pt>
                <c:pt idx="42">
                  <c:v>3.0454590522832311E-3</c:v>
                </c:pt>
                <c:pt idx="43">
                  <c:v>3.2493613448842666E-3</c:v>
                </c:pt>
                <c:pt idx="44">
                  <c:v>3.5111231412202942E-3</c:v>
                </c:pt>
                <c:pt idx="45">
                  <c:v>3.8137946291226577E-3</c:v>
                </c:pt>
                <c:pt idx="46">
                  <c:v>4.1651550410147188E-3</c:v>
                </c:pt>
                <c:pt idx="47">
                  <c:v>4.5430575232950667E-3</c:v>
                </c:pt>
                <c:pt idx="48">
                  <c:v>4.8965315682691175E-3</c:v>
                </c:pt>
                <c:pt idx="49">
                  <c:v>5.2895076192838435E-3</c:v>
                </c:pt>
                <c:pt idx="50">
                  <c:v>5.6597485857617178E-3</c:v>
                </c:pt>
                <c:pt idx="51">
                  <c:v>6.0194512968871072E-3</c:v>
                </c:pt>
                <c:pt idx="52">
                  <c:v>6.3334573336303107E-3</c:v>
                </c:pt>
                <c:pt idx="53">
                  <c:v>6.6242191468674338E-3</c:v>
                </c:pt>
                <c:pt idx="54">
                  <c:v>6.8994997814264139E-3</c:v>
                </c:pt>
                <c:pt idx="55">
                  <c:v>7.1540065968295156E-3</c:v>
                </c:pt>
                <c:pt idx="56">
                  <c:v>7.4073880686471453E-3</c:v>
                </c:pt>
                <c:pt idx="57">
                  <c:v>7.6458636593931158E-3</c:v>
                </c:pt>
                <c:pt idx="58">
                  <c:v>7.8880130963273568E-3</c:v>
                </c:pt>
                <c:pt idx="59">
                  <c:v>8.1285424167232955E-3</c:v>
                </c:pt>
                <c:pt idx="60">
                  <c:v>8.3453895200997965E-3</c:v>
                </c:pt>
                <c:pt idx="61">
                  <c:v>8.5770759300344904E-3</c:v>
                </c:pt>
                <c:pt idx="62">
                  <c:v>8.7941663315865386E-3</c:v>
                </c:pt>
                <c:pt idx="63">
                  <c:v>9.0145846410177657E-3</c:v>
                </c:pt>
                <c:pt idx="64">
                  <c:v>9.2274139121069163E-3</c:v>
                </c:pt>
                <c:pt idx="65">
                  <c:v>9.4502939857516247E-3</c:v>
                </c:pt>
                <c:pt idx="66">
                  <c:v>9.6796868202708424E-3</c:v>
                </c:pt>
                <c:pt idx="67">
                  <c:v>9.9112207948081205E-3</c:v>
                </c:pt>
                <c:pt idx="68">
                  <c:v>1.0162984939956156E-2</c:v>
                </c:pt>
                <c:pt idx="69">
                  <c:v>1.0417384775716246E-2</c:v>
                </c:pt>
                <c:pt idx="70">
                  <c:v>1.0688688793757999E-2</c:v>
                </c:pt>
                <c:pt idx="71">
                  <c:v>1.0965819477347047E-2</c:v>
                </c:pt>
                <c:pt idx="72">
                  <c:v>1.122789602311576E-2</c:v>
                </c:pt>
                <c:pt idx="73">
                  <c:v>1.150844831825697E-2</c:v>
                </c:pt>
                <c:pt idx="74">
                  <c:v>1.177779751366737E-2</c:v>
                </c:pt>
                <c:pt idx="75">
                  <c:v>1.2051208721688727E-2</c:v>
                </c:pt>
                <c:pt idx="76">
                  <c:v>1.2308466143180917E-2</c:v>
                </c:pt>
                <c:pt idx="77">
                  <c:v>1.2564028772224496E-2</c:v>
                </c:pt>
                <c:pt idx="78">
                  <c:v>1.2812333784066127E-2</c:v>
                </c:pt>
                <c:pt idx="79">
                  <c:v>1.3052581379011573E-2</c:v>
                </c:pt>
                <c:pt idx="80">
                  <c:v>1.3298892595510972E-2</c:v>
                </c:pt>
                <c:pt idx="81">
                  <c:v>1.3533439527275745E-2</c:v>
                </c:pt>
                <c:pt idx="82">
                  <c:v>1.3769835220709577E-2</c:v>
                </c:pt>
                <c:pt idx="83">
                  <c:v>1.3998106998136329E-2</c:v>
                </c:pt>
                <c:pt idx="84">
                  <c:v>1.4195576027174165E-2</c:v>
                </c:pt>
                <c:pt idx="85">
                  <c:v>1.4402642570636247E-2</c:v>
                </c:pt>
                <c:pt idx="86">
                  <c:v>1.4589569054597427E-2</c:v>
                </c:pt>
                <c:pt idx="87">
                  <c:v>1.4771742588670979E-2</c:v>
                </c:pt>
                <c:pt idx="88">
                  <c:v>1.4944189281291565E-2</c:v>
                </c:pt>
                <c:pt idx="89">
                  <c:v>1.5118604313378902E-2</c:v>
                </c:pt>
                <c:pt idx="90">
                  <c:v>1.5289275235963551E-2</c:v>
                </c:pt>
                <c:pt idx="91">
                  <c:v>1.5450968814923969E-2</c:v>
                </c:pt>
                <c:pt idx="92">
                  <c:v>1.5614560785171714E-2</c:v>
                </c:pt>
                <c:pt idx="93">
                  <c:v>1.5769588875462801E-2</c:v>
                </c:pt>
                <c:pt idx="94">
                  <c:v>1.5926484454797493E-2</c:v>
                </c:pt>
                <c:pt idx="95">
                  <c:v>1.6080123559360306E-2</c:v>
                </c:pt>
                <c:pt idx="96">
                  <c:v>1.6216177536782173E-2</c:v>
                </c:pt>
                <c:pt idx="97">
                  <c:v>1.636389179893397E-2</c:v>
                </c:pt>
                <c:pt idx="98">
                  <c:v>1.6504012589282933E-2</c:v>
                </c:pt>
                <c:pt idx="99">
                  <c:v>1.6645977456833192E-2</c:v>
                </c:pt>
                <c:pt idx="100">
                  <c:v>1.6780719427288981E-2</c:v>
                </c:pt>
                <c:pt idx="101">
                  <c:v>1.691731746166155E-2</c:v>
                </c:pt>
                <c:pt idx="102">
                  <c:v>1.7051334698144148E-2</c:v>
                </c:pt>
                <c:pt idx="103">
                  <c:v>1.7178664595575665E-2</c:v>
                </c:pt>
                <c:pt idx="104">
                  <c:v>1.730789197676573E-2</c:v>
                </c:pt>
                <c:pt idx="105">
                  <c:v>1.7428920704294363E-2</c:v>
                </c:pt>
                <c:pt idx="106">
                  <c:v>1.7547658142079314E-2</c:v>
                </c:pt>
                <c:pt idx="107">
                  <c:v>1.766106869480584E-2</c:v>
                </c:pt>
                <c:pt idx="108">
                  <c:v>1.7759873963042964E-2</c:v>
                </c:pt>
                <c:pt idx="109">
                  <c:v>1.7866296631075973E-2</c:v>
                </c:pt>
                <c:pt idx="110">
                  <c:v>1.7967354834152866E-2</c:v>
                </c:pt>
                <c:pt idx="111">
                  <c:v>1.8070895637344063E-2</c:v>
                </c:pt>
                <c:pt idx="112">
                  <c:v>1.8171301364245301E-2</c:v>
                </c:pt>
                <c:pt idx="113">
                  <c:v>1.8276375581515285E-2</c:v>
                </c:pt>
                <c:pt idx="114">
                  <c:v>1.838392114352156E-2</c:v>
                </c:pt>
                <c:pt idx="115">
                  <c:v>1.8491424593078544E-2</c:v>
                </c:pt>
                <c:pt idx="116">
                  <c:v>1.860635506038048E-2</c:v>
                </c:pt>
                <c:pt idx="117">
                  <c:v>1.8720315726228804E-2</c:v>
                </c:pt>
                <c:pt idx="118">
                  <c:v>1.8840544335940661E-2</c:v>
                </c:pt>
                <c:pt idx="119">
                  <c:v>1.8962930949411854E-2</c:v>
                </c:pt>
                <c:pt idx="120">
                  <c:v>1.9204613685355146E-2</c:v>
                </c:pt>
                <c:pt idx="121">
                  <c:v>1.9327181501854307E-2</c:v>
                </c:pt>
                <c:pt idx="122">
                  <c:v>1.9454588924453856E-2</c:v>
                </c:pt>
                <c:pt idx="123">
                  <c:v>1.9578284864994955E-2</c:v>
                </c:pt>
                <c:pt idx="124">
                  <c:v>1.9706169661758838E-2</c:v>
                </c:pt>
                <c:pt idx="125">
                  <c:v>1.9833769462258698E-2</c:v>
                </c:pt>
                <c:pt idx="126">
                  <c:v>1.9956646891157025E-2</c:v>
                </c:pt>
                <c:pt idx="127">
                  <c:v>2.0082647719292204E-2</c:v>
                </c:pt>
                <c:pt idx="128">
                  <c:v>2.0203311606535351E-2</c:v>
                </c:pt>
                <c:pt idx="129">
                  <c:v>2.0326336754281173E-2</c:v>
                </c:pt>
                <c:pt idx="130">
                  <c:v>2.0447322074760278E-2</c:v>
                </c:pt>
                <c:pt idx="131">
                  <c:v>2.0554550115392974E-2</c:v>
                </c:pt>
                <c:pt idx="132">
                  <c:v>2.0670670878197864E-2</c:v>
                </c:pt>
                <c:pt idx="133">
                  <c:v>2.0780124419999279E-2</c:v>
                </c:pt>
                <c:pt idx="134">
                  <c:v>2.0889861585829145E-2</c:v>
                </c:pt>
                <c:pt idx="135">
                  <c:v>2.0992471304094408E-2</c:v>
                </c:pt>
                <c:pt idx="136">
                  <c:v>2.1094448164924579E-2</c:v>
                </c:pt>
                <c:pt idx="137">
                  <c:v>2.1191953667948356E-2</c:v>
                </c:pt>
                <c:pt idx="138">
                  <c:v>2.1281721609371102E-2</c:v>
                </c:pt>
                <c:pt idx="139">
                  <c:v>2.1371161790288418E-2</c:v>
                </c:pt>
                <c:pt idx="140">
                  <c:v>2.1457056715220899E-2</c:v>
                </c:pt>
                <c:pt idx="141">
                  <c:v>2.1545162550106335E-2</c:v>
                </c:pt>
                <c:pt idx="142">
                  <c:v>2.1632597229992164E-2</c:v>
                </c:pt>
                <c:pt idx="143">
                  <c:v>2.1710986715541225E-2</c:v>
                </c:pt>
                <c:pt idx="144">
                  <c:v>2.1797121112529495E-2</c:v>
                </c:pt>
                <c:pt idx="145">
                  <c:v>2.1879815100661195E-2</c:v>
                </c:pt>
                <c:pt idx="146">
                  <c:v>2.1964573536770927E-2</c:v>
                </c:pt>
                <c:pt idx="147">
                  <c:v>2.2045920404405072E-2</c:v>
                </c:pt>
                <c:pt idx="148">
                  <c:v>2.2129270752365055E-2</c:v>
                </c:pt>
                <c:pt idx="149">
                  <c:v>2.2211893202399781E-2</c:v>
                </c:pt>
                <c:pt idx="150">
                  <c:v>2.2291149541133065E-2</c:v>
                </c:pt>
                <c:pt idx="151">
                  <c:v>2.2372315448772953E-2</c:v>
                </c:pt>
                <c:pt idx="152">
                  <c:v>2.2450146684896137E-2</c:v>
                </c:pt>
                <c:pt idx="153">
                  <c:v>2.2529823922869983E-2</c:v>
                </c:pt>
                <c:pt idx="154">
                  <c:v>2.2608732311656183E-2</c:v>
                </c:pt>
                <c:pt idx="155">
                  <c:v>2.2679336660812122E-2</c:v>
                </c:pt>
                <c:pt idx="156">
                  <c:v>2.2756758832600969E-2</c:v>
                </c:pt>
                <c:pt idx="157">
                  <c:v>2.283092861717646E-2</c:v>
                </c:pt>
                <c:pt idx="158">
                  <c:v>2.2906782591136123E-2</c:v>
                </c:pt>
                <c:pt idx="159">
                  <c:v>2.2979419219455371E-2</c:v>
                </c:pt>
                <c:pt idx="160">
                  <c:v>2.3053672868314647E-2</c:v>
                </c:pt>
                <c:pt idx="161">
                  <c:v>2.3127100925060626E-2</c:v>
                </c:pt>
                <c:pt idx="162">
                  <c:v>2.3197366445957723E-2</c:v>
                </c:pt>
                <c:pt idx="163">
                  <c:v>2.3269145723358226E-2</c:v>
                </c:pt>
                <c:pt idx="164">
                  <c:v>2.3337800105886531E-2</c:v>
                </c:pt>
                <c:pt idx="165">
                  <c:v>2.3407898476670349E-2</c:v>
                </c:pt>
                <c:pt idx="166">
                  <c:v>2.347713030407849E-2</c:v>
                </c:pt>
                <c:pt idx="167">
                  <c:v>2.3541103724140366E-2</c:v>
                </c:pt>
                <c:pt idx="168">
                  <c:v>2.3608634799886064E-2</c:v>
                </c:pt>
                <c:pt idx="169">
                  <c:v>2.3673139283309858E-2</c:v>
                </c:pt>
                <c:pt idx="170">
                  <c:v>2.3738909397599151E-2</c:v>
                </c:pt>
                <c:pt idx="171">
                  <c:v>2.3801694179321004E-2</c:v>
                </c:pt>
                <c:pt idx="172">
                  <c:v>2.3865671204882692E-2</c:v>
                </c:pt>
                <c:pt idx="173">
                  <c:v>2.3928724676487746E-2</c:v>
                </c:pt>
                <c:pt idx="174">
                  <c:v>2.3988857003557872E-2</c:v>
                </c:pt>
                <c:pt idx="175">
                  <c:v>2.4050068932190225E-2</c:v>
                </c:pt>
                <c:pt idx="176">
                  <c:v>2.4108403575445862E-2</c:v>
                </c:pt>
                <c:pt idx="177">
                  <c:v>2.4167741833834314E-2</c:v>
                </c:pt>
                <c:pt idx="178">
                  <c:v>2.4226115587003751E-2</c:v>
                </c:pt>
                <c:pt idx="179">
                  <c:v>2.4278004352811858E-2</c:v>
                </c:pt>
                <c:pt idx="180">
                  <c:v>2.433451951137584E-2</c:v>
                </c:pt>
                <c:pt idx="181">
                  <c:v>2.4388270411905728E-2</c:v>
                </c:pt>
                <c:pt idx="182">
                  <c:v>2.4442832372062663E-2</c:v>
                </c:pt>
                <c:pt idx="183">
                  <c:v>2.4494677535131924E-2</c:v>
                </c:pt>
                <c:pt idx="184">
                  <c:v>2.4547254169610615E-2</c:v>
                </c:pt>
                <c:pt idx="185">
                  <c:v>2.4598879091788015E-2</c:v>
                </c:pt>
                <c:pt idx="186">
                  <c:v>2.4648047587342365E-2</c:v>
                </c:pt>
                <c:pt idx="187">
                  <c:v>2.469805947387109E-2</c:v>
                </c:pt>
                <c:pt idx="188">
                  <c:v>2.4745707775394532E-2</c:v>
                </c:pt>
                <c:pt idx="189">
                  <c:v>2.4794189518471153E-2</c:v>
                </c:pt>
                <c:pt idx="190">
                  <c:v>2.4841924860785083E-2</c:v>
                </c:pt>
                <c:pt idx="191">
                  <c:v>2.4884416603211775E-2</c:v>
                </c:pt>
                <c:pt idx="192">
                  <c:v>2.4930789490526475E-2</c:v>
                </c:pt>
                <c:pt idx="193">
                  <c:v>2.4975013735920346E-2</c:v>
                </c:pt>
                <c:pt idx="194">
                  <c:v>2.5020058095543213E-2</c:v>
                </c:pt>
                <c:pt idx="195">
                  <c:v>2.5063036079022244E-2</c:v>
                </c:pt>
                <c:pt idx="196">
                  <c:v>2.5106833358379609E-2</c:v>
                </c:pt>
                <c:pt idx="197">
                  <c:v>2.5150028088757635E-2</c:v>
                </c:pt>
                <c:pt idx="198">
                  <c:v>2.5191275546551997E-2</c:v>
                </c:pt>
                <c:pt idx="199">
                  <c:v>2.523334603540588E-2</c:v>
                </c:pt>
                <c:pt idx="200">
                  <c:v>2.5273544927576715E-2</c:v>
                </c:pt>
                <c:pt idx="201">
                  <c:v>2.5314572622332783E-2</c:v>
                </c:pt>
                <c:pt idx="202">
                  <c:v>2.5355101585670146E-2</c:v>
                </c:pt>
                <c:pt idx="203">
                  <c:v>2.5391297217718555E-2</c:v>
                </c:pt>
                <c:pt idx="204">
                  <c:v>2.5430935096743625E-2</c:v>
                </c:pt>
                <c:pt idx="205">
                  <c:v>2.5468877406383483E-2</c:v>
                </c:pt>
                <c:pt idx="206">
                  <c:v>2.5507674107071009E-2</c:v>
                </c:pt>
                <c:pt idx="207">
                  <c:v>2.5544841783203404E-2</c:v>
                </c:pt>
                <c:pt idx="208">
                  <c:v>2.5582878752979717E-2</c:v>
                </c:pt>
                <c:pt idx="209">
                  <c:v>2.5620560843120681E-2</c:v>
                </c:pt>
                <c:pt idx="210">
                  <c:v>2.5656709301986092E-2</c:v>
                </c:pt>
                <c:pt idx="211">
                  <c:v>2.56937544999572E-2</c:v>
                </c:pt>
                <c:pt idx="212">
                  <c:v>2.572932602160646E-2</c:v>
                </c:pt>
                <c:pt idx="213">
                  <c:v>2.5765815774834049E-2</c:v>
                </c:pt>
                <c:pt idx="214">
                  <c:v>2.5802054465986914E-2</c:v>
                </c:pt>
                <c:pt idx="215">
                  <c:v>2.5835746522359711E-2</c:v>
                </c:pt>
                <c:pt idx="216">
                  <c:v>2.5871559042754524E-2</c:v>
                </c:pt>
                <c:pt idx="217">
                  <c:v>2.5906035852699613E-2</c:v>
                </c:pt>
                <c:pt idx="218">
                  <c:v>2.5941495879314883E-2</c:v>
                </c:pt>
                <c:pt idx="219">
                  <c:v>2.5975670976292515E-2</c:v>
                </c:pt>
                <c:pt idx="220">
                  <c:v>2.6010859956554576E-2</c:v>
                </c:pt>
                <c:pt idx="221">
                  <c:v>2.6045942405071416E-2</c:v>
                </c:pt>
                <c:pt idx="222">
                  <c:v>2.6079811541989937E-2</c:v>
                </c:pt>
                <c:pt idx="223">
                  <c:v>2.6114745782894924E-2</c:v>
                </c:pt>
                <c:pt idx="224">
                  <c:v>2.6148510903137294E-2</c:v>
                </c:pt>
                <c:pt idx="225">
                  <c:v>2.6183378383856763E-2</c:v>
                </c:pt>
                <c:pt idx="226">
                  <c:v>2.6218243150391639E-2</c:v>
                </c:pt>
                <c:pt idx="227">
                  <c:v>2.6249749071108958E-2</c:v>
                </c:pt>
                <c:pt idx="228">
                  <c:v>2.6284666786131956E-2</c:v>
                </c:pt>
                <c:pt idx="229">
                  <c:v>2.6318513469598338E-2</c:v>
                </c:pt>
                <c:pt idx="230">
                  <c:v>2.6353566040196088E-2</c:v>
                </c:pt>
                <c:pt idx="231">
                  <c:v>2.6387582639102385E-2</c:v>
                </c:pt>
                <c:pt idx="232">
                  <c:v>2.6422851512701215E-2</c:v>
                </c:pt>
                <c:pt idx="233">
                  <c:v>2.645826152389881E-2</c:v>
                </c:pt>
                <c:pt idx="234">
                  <c:v>2.649268347116368E-2</c:v>
                </c:pt>
                <c:pt idx="235">
                  <c:v>2.6528432624103711E-2</c:v>
                </c:pt>
                <c:pt idx="236">
                  <c:v>2.6563222183099814E-2</c:v>
                </c:pt>
                <c:pt idx="237">
                  <c:v>2.6599391925208618E-2</c:v>
                </c:pt>
                <c:pt idx="238">
                  <c:v>2.6635806622476815E-2</c:v>
                </c:pt>
                <c:pt idx="239">
                  <c:v>2.6668925357715104E-2</c:v>
                </c:pt>
                <c:pt idx="240">
                  <c:v>2.670586437415836E-2</c:v>
                </c:pt>
                <c:pt idx="241">
                  <c:v>2.6741902969977065E-2</c:v>
                </c:pt>
                <c:pt idx="242">
                  <c:v>2.6779464191349359E-2</c:v>
                </c:pt>
                <c:pt idx="243">
                  <c:v>2.6816144331015365E-2</c:v>
                </c:pt>
                <c:pt idx="244">
                  <c:v>2.6854409204743031E-2</c:v>
                </c:pt>
                <c:pt idx="245">
                  <c:v>2.689306288541345E-2</c:v>
                </c:pt>
                <c:pt idx="246">
                  <c:v>2.6930859681855709E-2</c:v>
                </c:pt>
                <c:pt idx="247">
                  <c:v>2.6970339853622856E-2</c:v>
                </c:pt>
                <c:pt idx="248">
                  <c:v>2.7008975890203724E-2</c:v>
                </c:pt>
                <c:pt idx="249">
                  <c:v>2.7049364000493934E-2</c:v>
                </c:pt>
                <c:pt idx="250">
                  <c:v>2.7090244735287518E-2</c:v>
                </c:pt>
                <c:pt idx="251">
                  <c:v>2.7127610187955745E-2</c:v>
                </c:pt>
                <c:pt idx="252">
                  <c:v>2.7169486612611326E-2</c:v>
                </c:pt>
                <c:pt idx="253">
                  <c:v>2.7210539159613391E-2</c:v>
                </c:pt>
                <c:pt idx="254">
                  <c:v>2.7253525138552306E-2</c:v>
                </c:pt>
                <c:pt idx="255">
                  <c:v>2.7295690857809047E-2</c:v>
                </c:pt>
                <c:pt idx="256">
                  <c:v>2.7339867838457623E-2</c:v>
                </c:pt>
                <c:pt idx="257">
                  <c:v>2.7384681295392933E-2</c:v>
                </c:pt>
                <c:pt idx="258">
                  <c:v>2.7428674979843616E-2</c:v>
                </c:pt>
                <c:pt idx="259">
                  <c:v>2.7474802277229947E-2</c:v>
                </c:pt>
                <c:pt idx="260">
                  <c:v>2.7520106830226619E-2</c:v>
                </c:pt>
                <c:pt idx="261">
                  <c:v>2.7567629415490302E-2</c:v>
                </c:pt>
                <c:pt idx="262">
                  <c:v>2.7615892294601346E-2</c:v>
                </c:pt>
                <c:pt idx="263">
                  <c:v>2.7661730266298409E-2</c:v>
                </c:pt>
                <c:pt idx="264">
                  <c:v>2.771148572804898E-2</c:v>
                </c:pt>
                <c:pt idx="265">
                  <c:v>2.7760399609929105E-2</c:v>
                </c:pt>
                <c:pt idx="266">
                  <c:v>2.781175331052101E-2</c:v>
                </c:pt>
                <c:pt idx="267">
                  <c:v>2.7862253285195808E-2</c:v>
                </c:pt>
                <c:pt idx="268">
                  <c:v>2.7915286672055381E-2</c:v>
                </c:pt>
                <c:pt idx="269">
                  <c:v>2.7969204883091819E-2</c:v>
                </c:pt>
                <c:pt idx="270">
                  <c:v>2.8022246080168432E-2</c:v>
                </c:pt>
                <c:pt idx="271">
                  <c:v>2.8077966816213887E-2</c:v>
                </c:pt>
                <c:pt idx="272">
                  <c:v>2.8132791802376492E-2</c:v>
                </c:pt>
                <c:pt idx="273">
                  <c:v>2.8190396510857304E-2</c:v>
                </c:pt>
                <c:pt idx="274">
                  <c:v>2.8248989861075609E-2</c:v>
                </c:pt>
                <c:pt idx="275">
                  <c:v>2.8302780142488933E-2</c:v>
                </c:pt>
                <c:pt idx="276">
                  <c:v>2.836331321536965E-2</c:v>
                </c:pt>
                <c:pt idx="277">
                  <c:v>2.8422892857708437E-2</c:v>
                </c:pt>
                <c:pt idx="278">
                  <c:v>2.8485511518784777E-2</c:v>
                </c:pt>
                <c:pt idx="279">
                  <c:v>2.8547148882325624E-2</c:v>
                </c:pt>
                <c:pt idx="280">
                  <c:v>2.8611934579023921E-2</c:v>
                </c:pt>
                <c:pt idx="281">
                  <c:v>2.8677852769243065E-2</c:v>
                </c:pt>
                <c:pt idx="282">
                  <c:v>2.874274266360341E-2</c:v>
                </c:pt>
                <c:pt idx="283">
                  <c:v>2.8810950728185868E-2</c:v>
                </c:pt>
                <c:pt idx="284">
                  <c:v>2.8878096040039578E-2</c:v>
                </c:pt>
                <c:pt idx="285">
                  <c:v>2.8948675426411684E-2</c:v>
                </c:pt>
                <c:pt idx="286">
                  <c:v>2.9020491123865264E-2</c:v>
                </c:pt>
                <c:pt idx="287">
                  <c:v>2.9086437047607779E-2</c:v>
                </c:pt>
                <c:pt idx="288">
                  <c:v>2.9160663838410705E-2</c:v>
                </c:pt>
                <c:pt idx="289">
                  <c:v>2.9233731280039196E-2</c:v>
                </c:pt>
                <c:pt idx="290">
                  <c:v>2.9310531008392041E-2</c:v>
                </c:pt>
                <c:pt idx="291">
                  <c:v>2.9386127799629964E-2</c:v>
                </c:pt>
                <c:pt idx="292">
                  <c:v>2.9465581912959057E-2</c:v>
                </c:pt>
                <c:pt idx="293">
                  <c:v>2.9546416189152984E-2</c:v>
                </c:pt>
                <c:pt idx="294">
                  <c:v>2.9625976819628093E-2</c:v>
                </c:pt>
                <c:pt idx="295">
                  <c:v>2.9709588319539619E-2</c:v>
                </c:pt>
                <c:pt idx="296">
                  <c:v>2.9791875995915477E-2</c:v>
                </c:pt>
                <c:pt idx="297">
                  <c:v>2.9878346166970944E-2</c:v>
                </c:pt>
                <c:pt idx="298">
                  <c:v>2.996630031845187E-2</c:v>
                </c:pt>
                <c:pt idx="299">
                  <c:v>3.0047035787432536E-2</c:v>
                </c:pt>
                <c:pt idx="300">
                  <c:v>3.0137872402949746E-2</c:v>
                </c:pt>
                <c:pt idx="301">
                  <c:v>3.0227249682698971E-2</c:v>
                </c:pt>
                <c:pt idx="302">
                  <c:v>3.032114658512039E-2</c:v>
                </c:pt>
                <c:pt idx="303">
                  <c:v>3.0413524842886432E-2</c:v>
                </c:pt>
                <c:pt idx="304">
                  <c:v>3.0510563479638389E-2</c:v>
                </c:pt>
                <c:pt idx="305">
                  <c:v>3.0609229948599163E-2</c:v>
                </c:pt>
                <c:pt idx="306">
                  <c:v>3.0706283354020075E-2</c:v>
                </c:pt>
                <c:pt idx="307">
                  <c:v>3.080821439605274E-2</c:v>
                </c:pt>
                <c:pt idx="308">
                  <c:v>3.0908466475781778E-2</c:v>
                </c:pt>
                <c:pt idx="309">
                  <c:v>3.1013743538312676E-2</c:v>
                </c:pt>
                <c:pt idx="310">
                  <c:v>3.1120752250613018E-2</c:v>
                </c:pt>
                <c:pt idx="311">
                  <c:v>3.1222443483173129E-2</c:v>
                </c:pt>
                <c:pt idx="312">
                  <c:v>3.1332863531510581E-2</c:v>
                </c:pt>
                <c:pt idx="313">
                  <c:v>3.1441428980710687E-2</c:v>
                </c:pt>
                <c:pt idx="314">
                  <c:v>3.1555398000510347E-2</c:v>
                </c:pt>
                <c:pt idx="315">
                  <c:v>3.1667437348267269E-2</c:v>
                </c:pt>
                <c:pt idx="316">
                  <c:v>3.1785036786955469E-2</c:v>
                </c:pt>
                <c:pt idx="317">
                  <c:v>3.1904512405742616E-2</c:v>
                </c:pt>
                <c:pt idx="318">
                  <c:v>3.202194015836228E-2</c:v>
                </c:pt>
                <c:pt idx="319">
                  <c:v>3.2145169034779326E-2</c:v>
                </c:pt>
                <c:pt idx="320">
                  <c:v>3.2266268382247117E-2</c:v>
                </c:pt>
                <c:pt idx="321">
                  <c:v>3.2393331963720393E-2</c:v>
                </c:pt>
                <c:pt idx="322">
                  <c:v>3.2522375542853241E-2</c:v>
                </c:pt>
                <c:pt idx="323">
                  <c:v>3.2640650380655188E-2</c:v>
                </c:pt>
                <c:pt idx="324">
                  <c:v>3.2773520456624738E-2</c:v>
                </c:pt>
                <c:pt idx="325">
                  <c:v>3.2904047553220891E-2</c:v>
                </c:pt>
                <c:pt idx="326">
                  <c:v>3.3040953950006939E-2</c:v>
                </c:pt>
                <c:pt idx="327">
                  <c:v>3.3175426573567285E-2</c:v>
                </c:pt>
                <c:pt idx="328">
                  <c:v>3.3316450738596168E-2</c:v>
                </c:pt>
                <c:pt idx="329">
                  <c:v>3.3459598753067983E-2</c:v>
                </c:pt>
                <c:pt idx="330">
                  <c:v>3.3600171089908745E-2</c:v>
                </c:pt>
                <c:pt idx="331">
                  <c:v>3.3747559711364755E-2</c:v>
                </c:pt>
                <c:pt idx="332">
                  <c:v>3.3892275271461027E-2</c:v>
                </c:pt>
                <c:pt idx="333">
                  <c:v>3.4043985947327549E-2</c:v>
                </c:pt>
                <c:pt idx="334">
                  <c:v>3.4197924290197634E-2</c:v>
                </c:pt>
                <c:pt idx="335">
                  <c:v>3.4338897598136991E-2</c:v>
                </c:pt>
                <c:pt idx="336">
                  <c:v>3.4497133808530707E-2</c:v>
                </c:pt>
                <c:pt idx="337">
                  <c:v>3.4652444591353936E-2</c:v>
                </c:pt>
                <c:pt idx="338">
                  <c:v>3.4815204471918444E-2</c:v>
                </c:pt>
                <c:pt idx="339">
                  <c:v>3.4974932410113249E-2</c:v>
                </c:pt>
                <c:pt idx="340">
                  <c:v>3.5142297408274882E-2</c:v>
                </c:pt>
                <c:pt idx="341">
                  <c:v>3.5312033925223432E-2</c:v>
                </c:pt>
                <c:pt idx="342">
                  <c:v>3.5478572885116341E-2</c:v>
                </c:pt>
                <c:pt idx="343">
                  <c:v>3.5653037358403375E-2</c:v>
                </c:pt>
                <c:pt idx="344">
                  <c:v>3.582419116995917E-2</c:v>
                </c:pt>
                <c:pt idx="345">
                  <c:v>3.6003465047011012E-2</c:v>
                </c:pt>
                <c:pt idx="346">
                  <c:v>3.6185214260410395E-2</c:v>
                </c:pt>
                <c:pt idx="347">
                  <c:v>3.635151994139612E-2</c:v>
                </c:pt>
                <c:pt idx="348">
                  <c:v>3.6538038393006081E-2</c:v>
                </c:pt>
                <c:pt idx="349">
                  <c:v>3.672095490088742E-2</c:v>
                </c:pt>
                <c:pt idx="350">
                  <c:v>3.6912484372022464E-2</c:v>
                </c:pt>
                <c:pt idx="351">
                  <c:v>3.7100289663682756E-2</c:v>
                </c:pt>
                <c:pt idx="352">
                  <c:v>3.7296911601769213E-2</c:v>
                </c:pt>
                <c:pt idx="353">
                  <c:v>3.7496152727986565E-2</c:v>
                </c:pt>
                <c:pt idx="354">
                  <c:v>3.7691480349762656E-2</c:v>
                </c:pt>
                <c:pt idx="355">
                  <c:v>3.789593678167278E-2</c:v>
                </c:pt>
                <c:pt idx="356">
                  <c:v>3.8096350883519134E-2</c:v>
                </c:pt>
                <c:pt idx="357">
                  <c:v>3.8306104068548362E-2</c:v>
                </c:pt>
                <c:pt idx="358">
                  <c:v>3.8518580259269117E-2</c:v>
                </c:pt>
                <c:pt idx="359">
                  <c:v>3.8719832098231072E-2</c:v>
                </c:pt>
                <c:pt idx="360">
                  <c:v>3.8937638378386513E-2</c:v>
                </c:pt>
                <c:pt idx="361">
                  <c:v>3.9151069890291559E-2</c:v>
                </c:pt>
                <c:pt idx="362">
                  <c:v>3.937437587453009E-2</c:v>
                </c:pt>
                <c:pt idx="363">
                  <c:v>3.9593169090754089E-2</c:v>
                </c:pt>
                <c:pt idx="364">
                  <c:v>3.9822056226502041E-2</c:v>
                </c:pt>
                <c:pt idx="365">
                  <c:v>4.0053810898271015E-2</c:v>
                </c:pt>
                <c:pt idx="366">
                  <c:v>4.0280839701818678E-2</c:v>
                </c:pt>
                <c:pt idx="367">
                  <c:v>4.0518298363838426E-2</c:v>
                </c:pt>
                <c:pt idx="368">
                  <c:v>4.0750886567996358E-2</c:v>
                </c:pt>
                <c:pt idx="369">
                  <c:v>4.099413066769321E-2</c:v>
                </c:pt>
                <c:pt idx="370">
                  <c:v>4.124034612097173E-2</c:v>
                </c:pt>
                <c:pt idx="371">
                  <c:v>4.1465305710854924E-2</c:v>
                </c:pt>
                <c:pt idx="372">
                  <c:v>4.1717234435144426E-2</c:v>
                </c:pt>
                <c:pt idx="373">
                  <c:v>4.1963923481382892E-2</c:v>
                </c:pt>
                <c:pt idx="374">
                  <c:v>4.2221839259109772E-2</c:v>
                </c:pt>
                <c:pt idx="375">
                  <c:v>4.2474361638074568E-2</c:v>
                </c:pt>
                <c:pt idx="376">
                  <c:v>4.2738345916665151E-2</c:v>
                </c:pt>
                <c:pt idx="377">
                  <c:v>4.3005445400620748E-2</c:v>
                </c:pt>
                <c:pt idx="378">
                  <c:v>4.3266914675326895E-2</c:v>
                </c:pt>
                <c:pt idx="379">
                  <c:v>4.3540205498887562E-2</c:v>
                </c:pt>
                <c:pt idx="380">
                  <c:v>4.3807705802611355E-2</c:v>
                </c:pt>
                <c:pt idx="381">
                  <c:v>4.4087269413203414E-2</c:v>
                </c:pt>
                <c:pt idx="382">
                  <c:v>4.437005204672112E-2</c:v>
                </c:pt>
                <c:pt idx="383">
                  <c:v>4.4628252934549945E-2</c:v>
                </c:pt>
                <c:pt idx="384">
                  <c:v>4.4917220209765567E-2</c:v>
                </c:pt>
                <c:pt idx="385">
                  <c:v>4.5199988829168487E-2</c:v>
                </c:pt>
                <c:pt idx="386">
                  <c:v>4.5495430507175784E-2</c:v>
                </c:pt>
                <c:pt idx="387">
                  <c:v>4.578450408771241E-2</c:v>
                </c:pt>
                <c:pt idx="388">
                  <c:v>4.6086501615937706E-2</c:v>
                </c:pt>
                <c:pt idx="389">
                  <c:v>4.6391862018871993E-2</c:v>
                </c:pt>
                <c:pt idx="390">
                  <c:v>4.6690593803567659E-2</c:v>
                </c:pt>
                <c:pt idx="391">
                  <c:v>4.7002632895461305E-2</c:v>
                </c:pt>
                <c:pt idx="392">
                  <c:v>4.7307867337581994E-2</c:v>
                </c:pt>
                <c:pt idx="393">
                  <c:v>4.7626666565861328E-2</c:v>
                </c:pt>
                <c:pt idx="394">
                  <c:v>4.7948932486410294E-2</c:v>
                </c:pt>
                <c:pt idx="395">
                  <c:v>4.8243008575093699E-2</c:v>
                </c:pt>
                <c:pt idx="396">
                  <c:v>4.8571930508027529E-2</c:v>
                </c:pt>
                <c:pt idx="397">
                  <c:v>4.8893600739425946E-2</c:v>
                </c:pt>
                <c:pt idx="398">
                  <c:v>4.9229484424505719E-2</c:v>
                </c:pt>
                <c:pt idx="399">
                  <c:v>4.9557931245445219E-2</c:v>
                </c:pt>
                <c:pt idx="400">
                  <c:v>4.9900858130097286E-2</c:v>
                </c:pt>
                <c:pt idx="401">
                  <c:v>5.0247395558802338E-2</c:v>
                </c:pt>
                <c:pt idx="402">
                  <c:v>5.0586211892318572E-2</c:v>
                </c:pt>
                <c:pt idx="403">
                  <c:v>5.0939915359337264E-2</c:v>
                </c:pt>
                <c:pt idx="404">
                  <c:v>5.128570597868589E-2</c:v>
                </c:pt>
                <c:pt idx="405">
                  <c:v>5.1646656931444559E-2</c:v>
                </c:pt>
                <c:pt idx="406">
                  <c:v>5.2011322245816852E-2</c:v>
                </c:pt>
                <c:pt idx="407">
                  <c:v>5.2355842036719433E-2</c:v>
                </c:pt>
                <c:pt idx="408">
                  <c:v>5.2727756193923989E-2</c:v>
                </c:pt>
                <c:pt idx="409">
                  <c:v>5.3091268263918925E-2</c:v>
                </c:pt>
                <c:pt idx="410">
                  <c:v>5.3470632857827445E-2</c:v>
                </c:pt>
                <c:pt idx="411">
                  <c:v>5.3841394437903471E-2</c:v>
                </c:pt>
                <c:pt idx="412">
                  <c:v>5.4228290915942279E-2</c:v>
                </c:pt>
                <c:pt idx="413">
                  <c:v>5.4619046285924212E-2</c:v>
                </c:pt>
                <c:pt idx="414">
                  <c:v>5.5000890635784824E-2</c:v>
                </c:pt>
                <c:pt idx="415">
                  <c:v>5.5399300728638398E-2</c:v>
                </c:pt>
                <c:pt idx="416">
                  <c:v>5.5788592284871423E-2</c:v>
                </c:pt>
                <c:pt idx="417">
                  <c:v>5.6194738548022975E-2</c:v>
                </c:pt>
                <c:pt idx="418">
                  <c:v>5.6604847520678271E-2</c:v>
                </c:pt>
                <c:pt idx="419">
                  <c:v>5.6978692058335334E-2</c:v>
                </c:pt>
                <c:pt idx="420">
                  <c:v>5.7396401076175912E-2</c:v>
                </c:pt>
                <c:pt idx="421">
                  <c:v>5.7804466567441641E-2</c:v>
                </c:pt>
                <c:pt idx="422">
                  <c:v>5.8230113371340465E-2</c:v>
                </c:pt>
                <c:pt idx="423">
                  <c:v>5.8645900001094667E-2</c:v>
                </c:pt>
                <c:pt idx="424">
                  <c:v>5.9079566038478068E-2</c:v>
                </c:pt>
                <c:pt idx="425">
                  <c:v>5.951733863714858E-2</c:v>
                </c:pt>
                <c:pt idx="426">
                  <c:v>5.9944919345105055E-2</c:v>
                </c:pt>
                <c:pt idx="427">
                  <c:v>6.0390834016001503E-2</c:v>
                </c:pt>
                <c:pt idx="428">
                  <c:v>6.0826333558737761E-2</c:v>
                </c:pt>
                <c:pt idx="429">
                  <c:v>6.1280471749286476E-2</c:v>
                </c:pt>
                <c:pt idx="430">
                  <c:v>6.173882031868292E-2</c:v>
                </c:pt>
                <c:pt idx="431">
                  <c:v>6.2156448982093826E-2</c:v>
                </c:pt>
                <c:pt idx="432">
                  <c:v>6.262286896736248E-2</c:v>
                </c:pt>
                <c:pt idx="433">
                  <c:v>6.3078309918730036E-2</c:v>
                </c:pt>
                <c:pt idx="434">
                  <c:v>6.3553155039411252E-2</c:v>
                </c:pt>
                <c:pt idx="435">
                  <c:v>6.4016788757674636E-2</c:v>
                </c:pt>
                <c:pt idx="436">
                  <c:v>6.4500140461194719E-2</c:v>
                </c:pt>
                <c:pt idx="437">
                  <c:v>6.4987846395345869E-2</c:v>
                </c:pt>
                <c:pt idx="438">
                  <c:v>6.5463985500229249E-2</c:v>
                </c:pt>
                <c:pt idx="439">
                  <c:v>6.5960320855960625E-2</c:v>
                </c:pt>
                <c:pt idx="440">
                  <c:v>6.6444850424031157E-2</c:v>
                </c:pt>
                <c:pt idx="441">
                  <c:v>6.6949896648769117E-2</c:v>
                </c:pt>
                <c:pt idx="442">
                  <c:v>6.7459400921698776E-2</c:v>
                </c:pt>
                <c:pt idx="443">
                  <c:v>6.7923447613772475E-2</c:v>
                </c:pt>
                <c:pt idx="444">
                  <c:v>6.8441494673261286E-2</c:v>
                </c:pt>
                <c:pt idx="445">
                  <c:v>6.8947133123561724E-2</c:v>
                </c:pt>
                <c:pt idx="446">
                  <c:v>6.9474092667817372E-2</c:v>
                </c:pt>
                <c:pt idx="447">
                  <c:v>6.9988395513421009E-2</c:v>
                </c:pt>
                <c:pt idx="448">
                  <c:v>7.0524348989869826E-2</c:v>
                </c:pt>
                <c:pt idx="449">
                  <c:v>7.1064904366293688E-2</c:v>
                </c:pt>
                <c:pt idx="450">
                  <c:v>7.1592423906935015E-2</c:v>
                </c:pt>
                <c:pt idx="451">
                  <c:v>7.2142096054293392E-2</c:v>
                </c:pt>
                <c:pt idx="452">
                  <c:v>7.2678477686529241E-2</c:v>
                </c:pt>
                <c:pt idx="453">
                  <c:v>7.3237348052248477E-2</c:v>
                </c:pt>
                <c:pt idx="454">
                  <c:v>7.3800924135503404E-2</c:v>
                </c:pt>
                <c:pt idx="455">
                  <c:v>7.4332419223885407E-2</c:v>
                </c:pt>
                <c:pt idx="456">
                  <c:v>7.4905162903370209E-2</c:v>
                </c:pt>
                <c:pt idx="457">
                  <c:v>7.546397002683998E-2</c:v>
                </c:pt>
                <c:pt idx="458">
                  <c:v>7.6046114875649606E-2</c:v>
                </c:pt>
                <c:pt idx="459">
                  <c:v>7.6614059314962596E-2</c:v>
                </c:pt>
                <c:pt idx="460">
                  <c:v>7.7205686780523392E-2</c:v>
                </c:pt>
                <c:pt idx="461">
                  <c:v>7.7802164493949402E-2</c:v>
                </c:pt>
                <c:pt idx="462">
                  <c:v>7.838403888550792E-2</c:v>
                </c:pt>
                <c:pt idx="463">
                  <c:v>7.8990122054426445E-2</c:v>
                </c:pt>
                <c:pt idx="464">
                  <c:v>7.9581331458119506E-2</c:v>
                </c:pt>
                <c:pt idx="465">
                  <c:v>8.0197101529956877E-2</c:v>
                </c:pt>
                <c:pt idx="466">
                  <c:v>8.0817825667220067E-2</c:v>
                </c:pt>
                <c:pt idx="467">
                  <c:v>8.1382755348343633E-2</c:v>
                </c:pt>
                <c:pt idx="468">
                  <c:v>8.2012966304966378E-2</c:v>
                </c:pt>
                <c:pt idx="469">
                  <c:v>8.2627622736644341E-2</c:v>
                </c:pt>
                <c:pt idx="470">
                  <c:v>8.3267722211946227E-2</c:v>
                </c:pt>
                <c:pt idx="471">
                  <c:v>8.3891987587874778E-2</c:v>
                </c:pt>
                <c:pt idx="472">
                  <c:v>8.4542057029282136E-2</c:v>
                </c:pt>
                <c:pt idx="473">
                  <c:v>8.519722438789866E-2</c:v>
                </c:pt>
                <c:pt idx="474">
                  <c:v>8.583613102449042E-2</c:v>
                </c:pt>
                <c:pt idx="475">
                  <c:v>8.6501391187953761E-2</c:v>
                </c:pt>
                <c:pt idx="476">
                  <c:v>8.7150104465087433E-2</c:v>
                </c:pt>
                <c:pt idx="477">
                  <c:v>8.7825538880823922E-2</c:v>
                </c:pt>
                <c:pt idx="478">
                  <c:v>8.8506175031330223E-2</c:v>
                </c:pt>
                <c:pt idx="479">
                  <c:v>8.9125431666015845E-2</c:v>
                </c:pt>
                <c:pt idx="480">
                  <c:v>8.9816026006568642E-2</c:v>
                </c:pt>
                <c:pt idx="481">
                  <c:v>9.0489353785285803E-2</c:v>
                </c:pt>
                <c:pt idx="482">
                  <c:v>9.119032399387203E-2</c:v>
                </c:pt>
                <c:pt idx="483">
                  <c:v>9.1873732345247164E-2</c:v>
                </c:pt>
                <c:pt idx="484">
                  <c:v>9.2585159869293124E-2</c:v>
                </c:pt>
                <c:pt idx="485">
                  <c:v>9.3301932979892255E-2</c:v>
                </c:pt>
                <c:pt idx="486">
                  <c:v>9.4000693900348292E-2</c:v>
                </c:pt>
                <c:pt idx="487">
                  <c:v>9.472804716514853E-2</c:v>
                </c:pt>
                <c:pt idx="488">
                  <c:v>9.5437086354553863E-2</c:v>
                </c:pt>
                <c:pt idx="489">
                  <c:v>9.6175101220981538E-2</c:v>
                </c:pt>
                <c:pt idx="490">
                  <c:v>9.6918565491523015E-2</c:v>
                </c:pt>
                <c:pt idx="491">
                  <c:v>9.7594782982679651E-2</c:v>
                </c:pt>
                <c:pt idx="492">
                  <c:v>9.8348676813954566E-2</c:v>
                </c:pt>
                <c:pt idx="493">
                  <c:v>9.9083497978541976E-2</c:v>
                </c:pt>
                <c:pt idx="494">
                  <c:v>9.9848255027204583E-2</c:v>
                </c:pt>
                <c:pt idx="495">
                  <c:v>0.10059362839285735</c:v>
                </c:pt>
                <c:pt idx="496">
                  <c:v>0.101369330106334</c:v>
                </c:pt>
                <c:pt idx="497">
                  <c:v>0.10215062507570781</c:v>
                </c:pt>
                <c:pt idx="498">
                  <c:v>0.10291206231885916</c:v>
                </c:pt>
                <c:pt idx="499">
                  <c:v>0.10370442479178835</c:v>
                </c:pt>
                <c:pt idx="500">
                  <c:v>0.10447661193229638</c:v>
                </c:pt>
                <c:pt idx="501">
                  <c:v>0.10528012335620732</c:v>
                </c:pt>
                <c:pt idx="502">
                  <c:v>0.10608933185357601</c:v>
                </c:pt>
                <c:pt idx="503">
                  <c:v>0.10685150958497619</c:v>
                </c:pt>
                <c:pt idx="504">
                  <c:v>0.10767180443197236</c:v>
                </c:pt>
                <c:pt idx="505">
                  <c:v>0.1084711211043019</c:v>
                </c:pt>
                <c:pt idx="506">
                  <c:v>0.10930276785324378</c:v>
                </c:pt>
                <c:pt idx="507">
                  <c:v>0.11011310964717871</c:v>
                </c:pt>
                <c:pt idx="508">
                  <c:v>0.11095618974549261</c:v>
                </c:pt>
                <c:pt idx="509">
                  <c:v>0.11180511144759378</c:v>
                </c:pt>
                <c:pt idx="510">
                  <c:v>0.11263223037623518</c:v>
                </c:pt>
                <c:pt idx="511">
                  <c:v>0.11349270826644973</c:v>
                </c:pt>
                <c:pt idx="512">
                  <c:v>0.11433105001298779</c:v>
                </c:pt>
                <c:pt idx="513">
                  <c:v>0.1152031655387421</c:v>
                </c:pt>
                <c:pt idx="514">
                  <c:v>0.11608122648584432</c:v>
                </c:pt>
                <c:pt idx="515">
                  <c:v>0.116879441506127</c:v>
                </c:pt>
                <c:pt idx="516">
                  <c:v>0.11776887604676306</c:v>
                </c:pt>
                <c:pt idx="517">
                  <c:v>0.11863533791423819</c:v>
                </c:pt>
                <c:pt idx="518">
                  <c:v>0.11953661170617426</c:v>
                </c:pt>
                <c:pt idx="519">
                  <c:v>0.12041457032366212</c:v>
                </c:pt>
                <c:pt idx="520">
                  <c:v>0.12132776481432452</c:v>
                </c:pt>
                <c:pt idx="521">
                  <c:v>0.12224704857811819</c:v>
                </c:pt>
                <c:pt idx="522">
                  <c:v>0.12314249563873018</c:v>
                </c:pt>
                <c:pt idx="523">
                  <c:v>0.12407382293999154</c:v>
                </c:pt>
                <c:pt idx="524">
                  <c:v>0.12498096444690759</c:v>
                </c:pt>
                <c:pt idx="525">
                  <c:v>0.12592441673306298</c:v>
                </c:pt>
                <c:pt idx="526">
                  <c:v>0.12687406210991026</c:v>
                </c:pt>
                <c:pt idx="527">
                  <c:v>0.12773714691156321</c:v>
                </c:pt>
                <c:pt idx="528">
                  <c:v>0.12869863725263125</c:v>
                </c:pt>
                <c:pt idx="529">
                  <c:v>0.12963506635408298</c:v>
                </c:pt>
                <c:pt idx="530">
                  <c:v>0.13060888329580533</c:v>
                </c:pt>
                <c:pt idx="531">
                  <c:v>0.13155728077567716</c:v>
                </c:pt>
                <c:pt idx="532">
                  <c:v>0.13254350576548013</c:v>
                </c:pt>
                <c:pt idx="533">
                  <c:v>0.13353606769775839</c:v>
                </c:pt>
                <c:pt idx="534">
                  <c:v>0.13450266492917201</c:v>
                </c:pt>
                <c:pt idx="535">
                  <c:v>0.13550775774827223</c:v>
                </c:pt>
                <c:pt idx="536">
                  <c:v>0.13648652105439729</c:v>
                </c:pt>
                <c:pt idx="537">
                  <c:v>0.13750422620774583</c:v>
                </c:pt>
                <c:pt idx="538">
                  <c:v>0.13852837212113023</c:v>
                </c:pt>
                <c:pt idx="539">
                  <c:v>0.13945896060706242</c:v>
                </c:pt>
                <c:pt idx="540">
                  <c:v>0.14049542285535455</c:v>
                </c:pt>
                <c:pt idx="541">
                  <c:v>0.14150464122961387</c:v>
                </c:pt>
                <c:pt idx="542">
                  <c:v>0.14255391742791459</c:v>
                </c:pt>
                <c:pt idx="543">
                  <c:v>0.14357557580900138</c:v>
                </c:pt>
                <c:pt idx="544">
                  <c:v>0.14463774740473706</c:v>
                </c:pt>
                <c:pt idx="545">
                  <c:v>0.1457065036122919</c:v>
                </c:pt>
                <c:pt idx="546">
                  <c:v>0.14674707305333823</c:v>
                </c:pt>
                <c:pt idx="547">
                  <c:v>0.14782884749706937</c:v>
                </c:pt>
                <c:pt idx="548">
                  <c:v>0.1488820546412345</c:v>
                </c:pt>
                <c:pt idx="549">
                  <c:v>0.14997692876856822</c:v>
                </c:pt>
                <c:pt idx="550">
                  <c:v>0.15107849132528184</c:v>
                </c:pt>
                <c:pt idx="551">
                  <c:v>0.15211505904523903</c:v>
                </c:pt>
                <c:pt idx="552">
                  <c:v>0.15322962670497764</c:v>
                </c:pt>
                <c:pt idx="553">
                  <c:v>0.15431466742155192</c:v>
                </c:pt>
                <c:pt idx="554">
                  <c:v>0.15544253771585714</c:v>
                </c:pt>
                <c:pt idx="555">
                  <c:v>0.15654049135979897</c:v>
                </c:pt>
                <c:pt idx="556">
                  <c:v>0.15768174573609706</c:v>
                </c:pt>
                <c:pt idx="557">
                  <c:v>0.15882983307210458</c:v>
                </c:pt>
                <c:pt idx="558">
                  <c:v>0.15994741103321375</c:v>
                </c:pt>
                <c:pt idx="559">
                  <c:v>0.16110900528995553</c:v>
                </c:pt>
                <c:pt idx="560">
                  <c:v>0.16223969387472353</c:v>
                </c:pt>
                <c:pt idx="561">
                  <c:v>0.16341487649962588</c:v>
                </c:pt>
                <c:pt idx="562">
                  <c:v>0.16459699590179822</c:v>
                </c:pt>
                <c:pt idx="563">
                  <c:v>0.16567069645693261</c:v>
                </c:pt>
                <c:pt idx="564">
                  <c:v>0.1668660762268131</c:v>
                </c:pt>
                <c:pt idx="565">
                  <c:v>0.16802955802547037</c:v>
                </c:pt>
                <c:pt idx="566">
                  <c:v>0.16923872777927174</c:v>
                </c:pt>
                <c:pt idx="567">
                  <c:v>0.17041559413370388</c:v>
                </c:pt>
                <c:pt idx="568">
                  <c:v>0.17163863531885243</c:v>
                </c:pt>
                <c:pt idx="569">
                  <c:v>0.17286875713305438</c:v>
                </c:pt>
                <c:pt idx="570">
                  <c:v>0.17406595911307154</c:v>
                </c:pt>
                <c:pt idx="571">
                  <c:v>0.17531007519736203</c:v>
                </c:pt>
                <c:pt idx="572">
                  <c:v>0.17652085942944545</c:v>
                </c:pt>
                <c:pt idx="573">
                  <c:v>0.17777905123125082</c:v>
                </c:pt>
                <c:pt idx="574">
                  <c:v>0.17904442747967014</c:v>
                </c:pt>
                <c:pt idx="575">
                  <c:v>0.18019354064398307</c:v>
                </c:pt>
                <c:pt idx="576">
                  <c:v>0.18147264863079754</c:v>
                </c:pt>
                <c:pt idx="577">
                  <c:v>0.18271739355036876</c:v>
                </c:pt>
                <c:pt idx="578">
                  <c:v>0.18401077887045836</c:v>
                </c:pt>
                <c:pt idx="579">
                  <c:v>0.18526937997421183</c:v>
                </c:pt>
                <c:pt idx="580">
                  <c:v>0.18657712407500293</c:v>
                </c:pt>
                <c:pt idx="581">
                  <c:v>0.18789219647419136</c:v>
                </c:pt>
                <c:pt idx="582">
                  <c:v>0.18917184451194757</c:v>
                </c:pt>
                <c:pt idx="583">
                  <c:v>0.1905013985305789</c:v>
                </c:pt>
                <c:pt idx="584">
                  <c:v>0.19179510044880865</c:v>
                </c:pt>
                <c:pt idx="585">
                  <c:v>0.19313921753430913</c:v>
                </c:pt>
                <c:pt idx="586">
                  <c:v>0.1944907667357676</c:v>
                </c:pt>
                <c:pt idx="587">
                  <c:v>0.19571792641216801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6C-45E5-8F1E-4C168DFE8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779072"/>
        <c:axId val="947780608"/>
      </c:scatterChart>
      <c:valAx>
        <c:axId val="947779072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947780608"/>
        <c:crosses val="autoZero"/>
        <c:crossBetween val="midCat"/>
        <c:majorUnit val="3000"/>
      </c:valAx>
      <c:valAx>
        <c:axId val="9477806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777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/>
  </sheetViews>
  <sheetFormatPr defaultColWidth="9.140625" defaultRowHeight="12" outlineLevelCol="1"/>
  <cols>
    <col min="1" max="1" width="9.140625" style="427"/>
    <col min="2" max="2" width="19.5703125" style="427" bestFit="1" customWidth="1"/>
    <col min="3" max="3" width="12.28515625" style="427" bestFit="1" customWidth="1"/>
    <col min="4" max="4" width="4.7109375" style="427" customWidth="1"/>
    <col min="5" max="6" width="9.42578125" style="427" bestFit="1" customWidth="1"/>
    <col min="7" max="7" width="9.42578125" style="427" hidden="1" customWidth="1" outlineLevel="1"/>
    <col min="8" max="8" width="10" style="427" hidden="1" customWidth="1" outlineLevel="1"/>
    <col min="9" max="9" width="9.42578125" style="427" bestFit="1" customWidth="1" collapsed="1"/>
    <col min="10" max="10" width="9.140625" style="427"/>
    <col min="11" max="11" width="9.42578125" style="427" bestFit="1" customWidth="1"/>
    <col min="12" max="12" width="10" style="427" bestFit="1" customWidth="1"/>
    <col min="13" max="17" width="9.42578125" style="427" hidden="1" customWidth="1" outlineLevel="1"/>
    <col min="18" max="18" width="10" style="427" hidden="1" customWidth="1" outlineLevel="1"/>
    <col min="19" max="19" width="9.42578125" style="427" hidden="1" customWidth="1" outlineLevel="1"/>
    <col min="20" max="20" width="4.7109375" style="427" customWidth="1" collapsed="1"/>
    <col min="21" max="21" width="12.140625" style="427" customWidth="1"/>
    <col min="22" max="22" width="12.7109375" style="427" bestFit="1" customWidth="1"/>
    <col min="23" max="23" width="4.7109375" style="427" hidden="1" customWidth="1" outlineLevel="1"/>
    <col min="24" max="24" width="10.42578125" style="427" hidden="1" customWidth="1" outlineLevel="1"/>
    <col min="25" max="25" width="9.42578125" style="427" hidden="1" customWidth="1" outlineLevel="1"/>
    <col min="26" max="26" width="10" style="427" hidden="1" customWidth="1" outlineLevel="1"/>
    <col min="27" max="27" width="11" style="427" hidden="1" customWidth="1" outlineLevel="1"/>
    <col min="28" max="28" width="11.42578125" style="427" hidden="1" customWidth="1" outlineLevel="1"/>
    <col min="29" max="29" width="4.7109375" style="427" hidden="1" customWidth="1" outlineLevel="1"/>
    <col min="30" max="30" width="9.140625" style="427" hidden="1" customWidth="1" outlineLevel="1"/>
    <col min="31" max="31" width="15.42578125" style="427" hidden="1" customWidth="1" outlineLevel="1"/>
    <col min="32" max="32" width="4.7109375" style="427" hidden="1" customWidth="1" outlineLevel="1"/>
    <col min="33" max="33" width="9.140625" style="427" hidden="1" customWidth="1" outlineLevel="1"/>
    <col min="34" max="34" width="9.42578125" style="427" hidden="1" customWidth="1" outlineLevel="1"/>
    <col min="35" max="35" width="4.7109375" style="427" hidden="1" customWidth="1" outlineLevel="1"/>
    <col min="36" max="36" width="14.140625" style="427" hidden="1" customWidth="1" outlineLevel="1"/>
    <col min="37" max="37" width="4.7109375" style="427" customWidth="1" collapsed="1"/>
    <col min="38" max="38" width="4.7109375" style="427" customWidth="1"/>
    <col min="39" max="39" width="14.5703125" style="427" bestFit="1" customWidth="1"/>
    <col min="40" max="40" width="12.28515625" style="427" bestFit="1" customWidth="1"/>
    <col min="41" max="41" width="4.7109375" style="427" customWidth="1"/>
    <col min="42" max="42" width="9.42578125" style="427" bestFit="1" customWidth="1"/>
    <col min="43" max="43" width="9.140625" style="427"/>
    <col min="44" max="44" width="9.42578125" style="427" hidden="1" customWidth="1" outlineLevel="1"/>
    <col min="45" max="45" width="0" style="427" hidden="1" customWidth="1" outlineLevel="1"/>
    <col min="46" max="46" width="9.42578125" style="427" bestFit="1" customWidth="1" collapsed="1"/>
    <col min="47" max="48" width="9.140625" style="427"/>
    <col min="49" max="49" width="9.42578125" style="427" bestFit="1" customWidth="1"/>
    <col min="50" max="54" width="9.42578125" style="427" hidden="1" customWidth="1" outlineLevel="1"/>
    <col min="55" max="55" width="0" style="427" hidden="1" customWidth="1" outlineLevel="1"/>
    <col min="56" max="56" width="9.42578125" style="427" hidden="1" customWidth="1" outlineLevel="1"/>
    <col min="57" max="57" width="4.7109375" style="427" customWidth="1" collapsed="1"/>
    <col min="58" max="58" width="11" style="427" customWidth="1"/>
    <col min="59" max="59" width="13.140625" style="427" customWidth="1"/>
    <col min="60" max="60" width="4.7109375" style="427" hidden="1" customWidth="1" outlineLevel="1"/>
    <col min="61" max="61" width="9.140625" style="427" hidden="1" customWidth="1" outlineLevel="1"/>
    <col min="62" max="63" width="9.42578125" style="427" hidden="1" customWidth="1" outlineLevel="1"/>
    <col min="64" max="64" width="4.7109375" style="427" hidden="1" customWidth="1" outlineLevel="1"/>
    <col min="65" max="66" width="9.140625" style="427" hidden="1" customWidth="1" outlineLevel="1"/>
    <col min="67" max="67" width="4.7109375" style="427" customWidth="1" collapsed="1"/>
    <col min="68" max="68" width="13.85546875" style="427" bestFit="1" customWidth="1"/>
    <col min="69" max="16384" width="9.140625" style="427"/>
  </cols>
  <sheetData>
    <row r="1" spans="1:130">
      <c r="A1" s="416"/>
      <c r="B1" s="417"/>
      <c r="C1" s="417"/>
      <c r="D1" s="417"/>
      <c r="E1" s="418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9"/>
      <c r="X1" s="417"/>
      <c r="Y1" s="417"/>
      <c r="Z1" s="417"/>
      <c r="AA1" s="417"/>
      <c r="AB1" s="417"/>
      <c r="AC1" s="417"/>
      <c r="AD1" s="417"/>
      <c r="AE1" s="417"/>
      <c r="AF1" s="419"/>
      <c r="AG1" s="419"/>
      <c r="AH1" s="419"/>
      <c r="AI1" s="420"/>
      <c r="AJ1" s="420"/>
      <c r="AK1" s="420"/>
      <c r="AL1" s="422"/>
      <c r="AM1" s="423"/>
      <c r="AN1" s="423"/>
      <c r="AO1" s="423"/>
      <c r="AP1" s="424"/>
      <c r="AQ1" s="423"/>
      <c r="AR1" s="425"/>
      <c r="AS1" s="425"/>
      <c r="AT1" s="423"/>
      <c r="AU1" s="423"/>
      <c r="AV1" s="423"/>
      <c r="AW1" s="423"/>
      <c r="AX1" s="423"/>
      <c r="AY1" s="423"/>
      <c r="AZ1" s="423"/>
      <c r="BA1" s="423"/>
      <c r="BB1" s="423"/>
      <c r="BC1" s="423"/>
      <c r="BD1" s="423"/>
      <c r="BE1" s="423"/>
      <c r="BF1" s="423"/>
      <c r="BG1" s="423"/>
      <c r="BH1" s="426"/>
      <c r="BI1" s="423"/>
      <c r="BJ1" s="423"/>
      <c r="BK1" s="423"/>
      <c r="BL1" s="423"/>
      <c r="BM1" s="423"/>
      <c r="BN1" s="423"/>
      <c r="BO1" s="421"/>
      <c r="BP1" s="644"/>
      <c r="BQ1" s="645"/>
      <c r="BR1" s="645"/>
      <c r="BS1" s="645"/>
      <c r="BT1" s="645"/>
      <c r="BU1" s="645"/>
      <c r="BV1" s="645"/>
      <c r="BW1" s="645"/>
      <c r="BX1" s="645"/>
      <c r="BY1" s="645"/>
      <c r="BZ1" s="645"/>
      <c r="CA1" s="645"/>
      <c r="CB1" s="645"/>
      <c r="CC1" s="645"/>
      <c r="CD1" s="645"/>
      <c r="CE1" s="645"/>
      <c r="CF1" s="645"/>
      <c r="CG1" s="645"/>
      <c r="CH1" s="645"/>
      <c r="CI1" s="645"/>
      <c r="CJ1" s="645"/>
      <c r="CK1" s="645"/>
      <c r="CL1" s="645"/>
      <c r="CM1" s="645"/>
      <c r="CN1" s="645"/>
      <c r="CO1" s="645"/>
      <c r="CP1" s="645"/>
      <c r="CQ1" s="645"/>
      <c r="CR1" s="645"/>
      <c r="CS1" s="645"/>
      <c r="CT1" s="645"/>
      <c r="CU1" s="645"/>
      <c r="CV1" s="645"/>
      <c r="CW1" s="645"/>
      <c r="CX1" s="645"/>
      <c r="CY1" s="645"/>
      <c r="CZ1" s="645"/>
      <c r="DA1" s="645"/>
      <c r="DB1" s="645"/>
      <c r="DC1" s="645"/>
      <c r="DD1" s="645"/>
      <c r="DE1" s="645"/>
      <c r="DF1" s="645"/>
      <c r="DG1" s="645"/>
      <c r="DH1" s="645"/>
      <c r="DI1" s="645"/>
      <c r="DJ1" s="645"/>
      <c r="DK1" s="645"/>
      <c r="DL1" s="645"/>
      <c r="DM1" s="645"/>
      <c r="DN1" s="645"/>
      <c r="DO1" s="645"/>
      <c r="DP1" s="645"/>
      <c r="DQ1" s="645"/>
      <c r="DR1" s="645"/>
      <c r="DS1" s="645"/>
      <c r="DT1" s="645"/>
      <c r="DU1" s="645"/>
      <c r="DV1" s="645"/>
      <c r="DW1" s="645"/>
      <c r="DX1" s="645"/>
      <c r="DY1" s="645"/>
      <c r="DZ1" s="645"/>
    </row>
    <row r="2" spans="1:130">
      <c r="A2" s="428"/>
      <c r="B2" s="429" t="s">
        <v>1009</v>
      </c>
      <c r="C2" s="442" t="s">
        <v>1173</v>
      </c>
      <c r="D2" s="423"/>
      <c r="E2" s="429" t="s">
        <v>998</v>
      </c>
      <c r="F2" s="423"/>
      <c r="G2" s="425"/>
      <c r="H2" s="425"/>
      <c r="I2" s="429" t="s">
        <v>999</v>
      </c>
      <c r="J2" s="429" t="s">
        <v>1000</v>
      </c>
      <c r="K2" s="429" t="s">
        <v>1001</v>
      </c>
      <c r="L2" s="429" t="s">
        <v>1002</v>
      </c>
      <c r="M2" s="425"/>
      <c r="N2" s="425"/>
      <c r="O2" s="423"/>
      <c r="P2" s="425"/>
      <c r="Q2" s="425"/>
      <c r="R2" s="425"/>
      <c r="S2" s="430">
        <f t="array" ref="S2">SUM(1*E3:E19)</f>
        <v>15</v>
      </c>
      <c r="T2" s="423"/>
      <c r="U2" s="1018" t="s">
        <v>1003</v>
      </c>
      <c r="V2" s="1019"/>
      <c r="W2" s="426"/>
      <c r="X2" s="431" t="s">
        <v>1004</v>
      </c>
      <c r="Y2" s="432" t="s">
        <v>16</v>
      </c>
      <c r="Z2" s="433" t="s">
        <v>17</v>
      </c>
      <c r="AA2" s="423"/>
      <c r="AB2" s="423"/>
      <c r="AC2" s="423"/>
      <c r="AD2" s="423"/>
      <c r="AE2" s="423"/>
      <c r="AF2" s="426"/>
      <c r="AG2" s="434" t="s">
        <v>1005</v>
      </c>
      <c r="AH2" s="435"/>
      <c r="AI2" s="426"/>
      <c r="AJ2" s="436" t="s">
        <v>1006</v>
      </c>
      <c r="AK2" s="437"/>
      <c r="AL2" s="422"/>
      <c r="AM2" s="426"/>
      <c r="AN2" s="426"/>
      <c r="AO2" s="423"/>
      <c r="AP2" s="429" t="s">
        <v>998</v>
      </c>
      <c r="AQ2" s="423"/>
      <c r="AR2" s="425"/>
      <c r="AS2" s="425"/>
      <c r="AT2" s="429" t="s">
        <v>999</v>
      </c>
      <c r="AU2" s="429" t="s">
        <v>1000</v>
      </c>
      <c r="AV2" s="429" t="s">
        <v>1001</v>
      </c>
      <c r="AW2" s="429" t="s">
        <v>1002</v>
      </c>
      <c r="AX2" s="425"/>
      <c r="AY2" s="425"/>
      <c r="AZ2" s="423"/>
      <c r="BA2" s="425"/>
      <c r="BB2" s="425"/>
      <c r="BC2" s="425"/>
      <c r="BD2" s="430">
        <f t="array" ref="BD2">SUM(1*AP3:AP64)</f>
        <v>62</v>
      </c>
      <c r="BE2" s="423"/>
      <c r="BF2" s="1018" t="s">
        <v>1174</v>
      </c>
      <c r="BG2" s="1019"/>
      <c r="BH2" s="426"/>
      <c r="BI2" s="431" t="s">
        <v>1004</v>
      </c>
      <c r="BJ2" s="438" t="s">
        <v>16</v>
      </c>
      <c r="BK2" s="439" t="s">
        <v>17</v>
      </c>
      <c r="BL2" s="423"/>
      <c r="BM2" s="440" t="s">
        <v>1007</v>
      </c>
      <c r="BN2" s="441" t="s">
        <v>1008</v>
      </c>
      <c r="BO2" s="421"/>
      <c r="BP2" s="644"/>
      <c r="BQ2" s="645"/>
      <c r="BR2" s="645"/>
      <c r="BS2" s="645"/>
      <c r="BT2" s="645"/>
      <c r="BU2" s="645"/>
      <c r="BV2" s="645"/>
      <c r="BW2" s="645"/>
      <c r="BX2" s="645"/>
      <c r="BY2" s="645"/>
      <c r="BZ2" s="645"/>
      <c r="CA2" s="645"/>
      <c r="CB2" s="645"/>
      <c r="CC2" s="645"/>
      <c r="CD2" s="645"/>
      <c r="CE2" s="645"/>
      <c r="CF2" s="645"/>
      <c r="CG2" s="645"/>
      <c r="CH2" s="645"/>
      <c r="CI2" s="645"/>
      <c r="CJ2" s="645"/>
      <c r="CK2" s="645"/>
      <c r="CL2" s="645"/>
      <c r="CM2" s="645"/>
      <c r="CN2" s="645"/>
      <c r="CO2" s="645"/>
      <c r="CP2" s="645"/>
      <c r="CQ2" s="645"/>
      <c r="CR2" s="645"/>
      <c r="CS2" s="645"/>
      <c r="CT2" s="645"/>
      <c r="CU2" s="645"/>
      <c r="CV2" s="645"/>
      <c r="CW2" s="645"/>
      <c r="CX2" s="645"/>
      <c r="CY2" s="645"/>
      <c r="CZ2" s="645"/>
      <c r="DA2" s="645"/>
      <c r="DB2" s="645"/>
      <c r="DC2" s="645"/>
      <c r="DD2" s="645"/>
      <c r="DE2" s="645"/>
      <c r="DF2" s="645"/>
      <c r="DG2" s="645"/>
      <c r="DH2" s="645"/>
      <c r="DI2" s="645"/>
      <c r="DJ2" s="645"/>
      <c r="DK2" s="645"/>
      <c r="DL2" s="645"/>
      <c r="DM2" s="645"/>
      <c r="DN2" s="645"/>
      <c r="DO2" s="645"/>
      <c r="DP2" s="645"/>
      <c r="DQ2" s="645"/>
      <c r="DR2" s="645"/>
      <c r="DS2" s="645"/>
      <c r="DT2" s="645"/>
      <c r="DU2" s="645"/>
      <c r="DV2" s="645"/>
      <c r="DW2" s="645"/>
      <c r="DX2" s="645"/>
      <c r="DY2" s="645"/>
      <c r="DZ2" s="645"/>
    </row>
    <row r="3" spans="1:130">
      <c r="A3" s="428"/>
      <c r="B3" s="426"/>
      <c r="C3" s="426"/>
      <c r="D3" s="423"/>
      <c r="E3" s="443" t="b">
        <v>1</v>
      </c>
      <c r="F3" s="444" t="str">
        <f t="shared" ref="F3:F19" si="0">X3</f>
        <v>ON</v>
      </c>
      <c r="G3" s="445">
        <v>0</v>
      </c>
      <c r="H3" s="445" t="s">
        <v>63</v>
      </c>
      <c r="I3" s="446">
        <f t="shared" ref="I3:I19" si="1">AVERAGE(Y3:Z3)</f>
        <v>-0.3799999</v>
      </c>
      <c r="J3" s="447"/>
      <c r="K3" s="448"/>
      <c r="L3" s="449">
        <f>IF(ISNUMBER(J3),J3,I3)+K3</f>
        <v>-0.3799999</v>
      </c>
      <c r="M3" s="450">
        <v>1</v>
      </c>
      <c r="N3" s="451">
        <f t="shared" ref="N3:N19" si="2">IF(E3,M3,"")</f>
        <v>1</v>
      </c>
      <c r="O3" s="430">
        <f>IF($S$2&gt;0,1,"")</f>
        <v>1</v>
      </c>
      <c r="P3" s="451">
        <f>IF(LEN(O3)&gt;0,SMALL($N$3:$N$19,O3),"")</f>
        <v>1</v>
      </c>
      <c r="Q3" s="450">
        <f>IF(LEN(O3)&gt;0,INDEX($G$3:$G$19,$P3),"")</f>
        <v>0</v>
      </c>
      <c r="R3" s="445" t="str">
        <f>IF(LEN(P3)&gt;0,INDEX($H$3:$H$19,$P3),"")</f>
        <v>on</v>
      </c>
      <c r="S3" s="449">
        <f>IF(LEN(P3)&gt;0,INDEX($L$3:$L$19,$P3),"")</f>
        <v>-0.3799999</v>
      </c>
      <c r="T3" s="423"/>
      <c r="U3" s="452" t="s">
        <v>1010</v>
      </c>
      <c r="V3" s="452" t="s">
        <v>1011</v>
      </c>
      <c r="W3" s="426"/>
      <c r="X3" s="453" t="s">
        <v>65</v>
      </c>
      <c r="Y3" s="454">
        <f>_xll.RtGet($AE$3,$AE$4&amp;$X3&amp;$AE$5,Y$2)</f>
        <v>-0.3799999</v>
      </c>
      <c r="Z3" s="455">
        <f>_xll.RtGet($AE$3,$AE$4&amp;$X3&amp;$AE$5,Z$2)</f>
        <v>-0.3799999</v>
      </c>
      <c r="AA3" s="423"/>
      <c r="AB3" s="423"/>
      <c r="AC3" s="423"/>
      <c r="AD3" s="440" t="s">
        <v>1007</v>
      </c>
      <c r="AE3" s="441" t="s">
        <v>1008</v>
      </c>
      <c r="AF3" s="426"/>
      <c r="AG3" s="456" t="s">
        <v>1012</v>
      </c>
      <c r="AH3" s="456">
        <v>0</v>
      </c>
      <c r="AI3" s="426"/>
      <c r="AJ3" s="456" t="s">
        <v>73</v>
      </c>
      <c r="AK3" s="437"/>
      <c r="AL3" s="422"/>
      <c r="AM3" s="1016" t="s">
        <v>59</v>
      </c>
      <c r="AN3" s="1017"/>
      <c r="AO3" s="423"/>
      <c r="AP3" s="457" t="b">
        <v>1</v>
      </c>
      <c r="AQ3" s="444" t="str">
        <f>IF(BI3="SW","1W", IF(BI3="1Y","12M", BI3))</f>
        <v>ON</v>
      </c>
      <c r="AR3" s="445">
        <f>IF(LEN(AQ3)&gt;0,IF(RIGHT(AQ3,1)="N",0,LEFT(AQ3,LEN(AQ3)-1)*IF(RIGHT(AQ3,1)="Y",12,1)),"-")</f>
        <v>0</v>
      </c>
      <c r="AS3" s="445" t="s">
        <v>63</v>
      </c>
      <c r="AT3" s="446">
        <f>AVERAGE(BJ3:BK3)</f>
        <v>-0.36599999999999999</v>
      </c>
      <c r="AU3" s="447"/>
      <c r="AV3" s="448"/>
      <c r="AW3" s="449">
        <f>IF(ISNUMBER(AU3),AU3,AT3)+AV3</f>
        <v>-0.36599999999999999</v>
      </c>
      <c r="AX3" s="450">
        <v>1</v>
      </c>
      <c r="AY3" s="451">
        <f>IF(AP3,AX3,"")</f>
        <v>1</v>
      </c>
      <c r="AZ3" s="430">
        <f>IF($BD$2&gt;0,1,"")</f>
        <v>1</v>
      </c>
      <c r="BA3" s="451">
        <f>IF(LEN(AZ3)&gt;0,SMALL($AY$3:$AY$64,AZ3),"")</f>
        <v>1</v>
      </c>
      <c r="BB3" s="450">
        <f>IF(LEN(AZ3)&gt;0,INDEX($AR$3:$AR$64,$BA3),"")</f>
        <v>0</v>
      </c>
      <c r="BC3" s="445" t="str">
        <f>IF(LEN(BA3)&gt;0,INDEX($AS$3:$AS$64,$BA3),"")</f>
        <v>on</v>
      </c>
      <c r="BD3" s="449">
        <f>IF(LEN(BA3)&gt;0,INDEX($AW$3:$AW$64,$BA3),"")</f>
        <v>-0.36599999999999999</v>
      </c>
      <c r="BE3" s="423"/>
      <c r="BF3" s="643" t="s">
        <v>1010</v>
      </c>
      <c r="BG3" s="643" t="s">
        <v>1011</v>
      </c>
      <c r="BH3" s="426"/>
      <c r="BI3" s="453" t="s">
        <v>65</v>
      </c>
      <c r="BJ3" s="454">
        <f>_xll.RtGet($BN$2,$BN$3&amp;BI3&amp;$BN$4,BJ$2)</f>
        <v>-0.36599999999999999</v>
      </c>
      <c r="BK3" s="455">
        <f>_xll.RtGet($BN$2,$BN$3&amp;BI3&amp;$BN$4,BK$2)</f>
        <v>-0.36599999999999999</v>
      </c>
      <c r="BL3" s="423"/>
      <c r="BM3" s="458" t="s">
        <v>1013</v>
      </c>
      <c r="BN3" s="459" t="s">
        <v>1014</v>
      </c>
      <c r="BO3" s="421"/>
      <c r="BP3" s="644"/>
      <c r="BQ3" s="645"/>
      <c r="BR3" s="645"/>
      <c r="BS3" s="645"/>
      <c r="BT3" s="645"/>
      <c r="BU3" s="645"/>
      <c r="BV3" s="645"/>
      <c r="BW3" s="645"/>
      <c r="BX3" s="645"/>
      <c r="BY3" s="645"/>
      <c r="BZ3" s="645"/>
      <c r="CA3" s="645"/>
      <c r="CB3" s="645"/>
      <c r="CC3" s="645"/>
      <c r="CD3" s="645"/>
      <c r="CE3" s="645"/>
      <c r="CF3" s="645"/>
      <c r="CG3" s="645"/>
      <c r="CH3" s="645"/>
      <c r="CI3" s="645"/>
      <c r="CJ3" s="645"/>
      <c r="CK3" s="645"/>
      <c r="CL3" s="645"/>
      <c r="CM3" s="645"/>
      <c r="CN3" s="645"/>
      <c r="CO3" s="645"/>
      <c r="CP3" s="645"/>
      <c r="CQ3" s="645"/>
      <c r="CR3" s="645"/>
      <c r="CS3" s="645"/>
      <c r="CT3" s="645"/>
      <c r="CU3" s="645"/>
      <c r="CV3" s="645"/>
      <c r="CW3" s="645"/>
      <c r="CX3" s="645"/>
      <c r="CY3" s="645"/>
      <c r="CZ3" s="645"/>
      <c r="DA3" s="645"/>
      <c r="DB3" s="645"/>
      <c r="DC3" s="645"/>
      <c r="DD3" s="645"/>
      <c r="DE3" s="645"/>
      <c r="DF3" s="645"/>
      <c r="DG3" s="645"/>
      <c r="DH3" s="645"/>
      <c r="DI3" s="645"/>
      <c r="DJ3" s="645"/>
      <c r="DK3" s="645"/>
      <c r="DL3" s="645"/>
      <c r="DM3" s="645"/>
      <c r="DN3" s="645"/>
      <c r="DO3" s="645"/>
      <c r="DP3" s="645"/>
      <c r="DQ3" s="645"/>
      <c r="DR3" s="645"/>
      <c r="DS3" s="645"/>
      <c r="DT3" s="645"/>
      <c r="DU3" s="645"/>
      <c r="DV3" s="645"/>
      <c r="DW3" s="645"/>
      <c r="DX3" s="645"/>
      <c r="DY3" s="645"/>
      <c r="DZ3" s="645"/>
    </row>
    <row r="4" spans="1:130">
      <c r="A4" s="428"/>
      <c r="B4" s="429" t="s">
        <v>1024</v>
      </c>
      <c r="C4" s="442" t="s">
        <v>60</v>
      </c>
      <c r="D4" s="423"/>
      <c r="E4" s="443" t="b">
        <v>1</v>
      </c>
      <c r="F4" s="460" t="str">
        <f t="shared" si="0"/>
        <v>TN</v>
      </c>
      <c r="G4" s="425">
        <v>0</v>
      </c>
      <c r="H4" s="425" t="s">
        <v>1015</v>
      </c>
      <c r="I4" s="461">
        <f t="shared" si="1"/>
        <v>-0.38</v>
      </c>
      <c r="J4" s="462"/>
      <c r="K4" s="463"/>
      <c r="L4" s="464">
        <f t="shared" ref="L4:L19" si="3">IF(ISNUMBER(J4),J4,I4)+K4</f>
        <v>-0.38</v>
      </c>
      <c r="M4" s="465">
        <f t="shared" ref="M4:M19" si="4">M3+1</f>
        <v>2</v>
      </c>
      <c r="N4" s="466">
        <f t="shared" si="2"/>
        <v>2</v>
      </c>
      <c r="O4" s="465">
        <f t="shared" ref="O4:O19" si="5">IF(O3&lt;$S$2,O3+1,"")</f>
        <v>2</v>
      </c>
      <c r="P4" s="466">
        <f t="shared" ref="P4:P19" si="6">IF(LEN(O4)&gt;0,SMALL($N$3:$N$19,O4),"")</f>
        <v>2</v>
      </c>
      <c r="Q4" s="465">
        <f t="shared" ref="Q4:Q19" si="7">IF(LEN(O4)&gt;0,INDEX($G$3:$G$19,$P4),"")</f>
        <v>0</v>
      </c>
      <c r="R4" s="425" t="str">
        <f t="shared" ref="R4:R19" si="8">IF(LEN(P4)&gt;0,INDEX($H$3:$H$19,$P4),"")</f>
        <v>tn</v>
      </c>
      <c r="S4" s="464">
        <f t="shared" ref="S4:S19" si="9">IF(LEN(P4)&gt;0,INDEX($L$3:$L$19,$P4),"")</f>
        <v>-0.38</v>
      </c>
      <c r="T4" s="423"/>
      <c r="U4" s="467">
        <f t="array" ref="U4:V80">IF(doCalc="STD",_xll.xlCurveBootstrapper(Today+0*TYPE(A1),Currency,curveName,nDepos,Q3:INDEX(S3:S19,nDepos),0,$B$23:$C$23,nFut,R26:INDEX(S26:S36,nFut),nSwap,R39:INDEX(S39:S80,nSwap),C30,C31,C32,INDEX(AH3:AH12,MATCH(C33,AG3:AG12,0)),IF(LEN(exoDisc)&gt;0, B59:B80,B58:B80),IF(LEN(exoDisc)&gt;0, C59:C80,C58:C80)),"-")</f>
        <v>43175</v>
      </c>
      <c r="V4" s="468">
        <v>1</v>
      </c>
      <c r="W4" s="426"/>
      <c r="X4" s="472" t="s">
        <v>1016</v>
      </c>
      <c r="Y4" s="473">
        <f>_xll.RtGet($AE$3,$AE$4&amp;$X4&amp;$AE$5,Y$2)</f>
        <v>-0.38</v>
      </c>
      <c r="Z4" s="474">
        <f>_xll.RtGet($AE$3,$AE$4&amp;$X4&amp;$AE$5,Z$2)</f>
        <v>-0.38</v>
      </c>
      <c r="AA4" s="423"/>
      <c r="AB4" s="423"/>
      <c r="AC4" s="423"/>
      <c r="AD4" s="458" t="s">
        <v>1013</v>
      </c>
      <c r="AE4" s="459" t="s">
        <v>1017</v>
      </c>
      <c r="AF4" s="426"/>
      <c r="AG4" s="475" t="s">
        <v>1018</v>
      </c>
      <c r="AH4" s="475">
        <v>1</v>
      </c>
      <c r="AI4" s="426"/>
      <c r="AJ4" s="475" t="s">
        <v>1019</v>
      </c>
      <c r="AK4" s="437"/>
      <c r="AL4" s="422"/>
      <c r="AM4" s="476" t="s">
        <v>1020</v>
      </c>
      <c r="AN4" s="477" t="s">
        <v>1021</v>
      </c>
      <c r="AO4" s="423"/>
      <c r="AP4" s="478" t="b">
        <v>1</v>
      </c>
      <c r="AQ4" s="460" t="str">
        <f>IF(BI4="SW","1W", IF(BI4="1Y","12M", BI4))</f>
        <v>TN</v>
      </c>
      <c r="AR4" s="425">
        <f t="shared" ref="AR4:AR64" si="10">IF(LEN(AQ4)&gt;0,IF(RIGHT(AQ4,1)="N",0,LEFT(AQ4,LEN(AQ4)-1)*IF(RIGHT(AQ4,1)="Y",12,1)),"-")</f>
        <v>0</v>
      </c>
      <c r="AS4" s="425" t="s">
        <v>1015</v>
      </c>
      <c r="AT4" s="461">
        <f>AVERAGE(BJ4:BK4)</f>
        <v>-0.36600001999999998</v>
      </c>
      <c r="AU4" s="462"/>
      <c r="AV4" s="463"/>
      <c r="AW4" s="464">
        <f t="shared" ref="AW4:AW64" si="11">IF(ISNUMBER(AU4),AU4,AT4)+AV4</f>
        <v>-0.36600001999999998</v>
      </c>
      <c r="AX4" s="465">
        <f>AX3+1</f>
        <v>2</v>
      </c>
      <c r="AY4" s="466">
        <f t="shared" ref="AY4:AY64" si="12">IF(AP4,AX4,"")</f>
        <v>2</v>
      </c>
      <c r="AZ4" s="465">
        <f>IF(AZ3&lt;$BD$2,AZ3+1,"")</f>
        <v>2</v>
      </c>
      <c r="BA4" s="466">
        <f t="shared" ref="BA4:BA64" si="13">IF(LEN(AZ4)&gt;0,SMALL($AY$3:$AY$64,AZ4),"")</f>
        <v>2</v>
      </c>
      <c r="BB4" s="465">
        <f t="shared" ref="BB4:BB64" si="14">IF(LEN(AZ4)&gt;0,INDEX($AR$3:$AR$64,$BA4),"")</f>
        <v>0</v>
      </c>
      <c r="BC4" s="425" t="str">
        <f t="shared" ref="BC4:BC64" si="15">IF(LEN(BA4)&gt;0,INDEX($AS$3:$AS$64,$BA4),"")</f>
        <v>tn</v>
      </c>
      <c r="BD4" s="464">
        <f t="shared" ref="BD4:BD64" si="16">IF(LEN(BA4)&gt;0,INDEX($AW$3:$AW$64,$BA4),"")</f>
        <v>-0.36600001999999998</v>
      </c>
      <c r="BE4" s="423"/>
      <c r="BF4" s="479" t="str">
        <f t="array" ref="BF4:BG80">IF(doCalc="OIS",_xll.xlCurveBootstrapper(Today+0*TYPE(A1),Currency,curveName,AN11,BB3:INDEX(BB3:BD64,AN11,0),0,$AM$15:$AN$15,0,$AM$15:$AN$15,0,$AM$15:$AN$15,$AN$4,$AN$5,$AN$6,INDEX(AH3:AH12,MATCH(AN7,AG3:AG12,0)),$AM$10:$AM$11,$AN$10:$AN$11),"-")</f>
        <v>-</v>
      </c>
      <c r="BG4" s="468" t="str">
        <v>-</v>
      </c>
      <c r="BH4" s="426"/>
      <c r="BI4" s="472" t="s">
        <v>1016</v>
      </c>
      <c r="BJ4" s="473">
        <f>_xll.RtGet($BN$2,$BN$3&amp;BI4&amp;$BN$4,BJ$2)</f>
        <v>-0.36600001999999998</v>
      </c>
      <c r="BK4" s="474">
        <f>_xll.RtGet($BN$2,$BN$3&amp;BI4&amp;$BN$4,BK$2)</f>
        <v>-0.36600001999999998</v>
      </c>
      <c r="BL4" s="423"/>
      <c r="BM4" s="482" t="s">
        <v>1022</v>
      </c>
      <c r="BN4" s="483" t="s">
        <v>1023</v>
      </c>
      <c r="BO4" s="421"/>
      <c r="BP4" s="644"/>
      <c r="BQ4" s="645"/>
      <c r="BR4" s="645"/>
      <c r="BS4" s="645"/>
      <c r="BT4" s="645"/>
      <c r="BU4" s="645"/>
      <c r="BV4" s="645"/>
      <c r="BW4" s="645"/>
      <c r="BX4" s="645"/>
      <c r="BY4" s="645"/>
      <c r="BZ4" s="645"/>
      <c r="CA4" s="645"/>
      <c r="CB4" s="645"/>
      <c r="CC4" s="645"/>
      <c r="CD4" s="645"/>
      <c r="CE4" s="645"/>
      <c r="CF4" s="645"/>
      <c r="CG4" s="645"/>
      <c r="CH4" s="645"/>
      <c r="CI4" s="645"/>
      <c r="CJ4" s="645"/>
      <c r="CK4" s="645"/>
      <c r="CL4" s="645"/>
      <c r="CM4" s="645"/>
      <c r="CN4" s="645"/>
      <c r="CO4" s="645"/>
      <c r="CP4" s="645"/>
      <c r="CQ4" s="645"/>
      <c r="CR4" s="645"/>
      <c r="CS4" s="645"/>
      <c r="CT4" s="645"/>
      <c r="CU4" s="645"/>
      <c r="CV4" s="645"/>
      <c r="CW4" s="645"/>
      <c r="CX4" s="645"/>
      <c r="CY4" s="645"/>
      <c r="CZ4" s="645"/>
      <c r="DA4" s="645"/>
      <c r="DB4" s="645"/>
      <c r="DC4" s="645"/>
      <c r="DD4" s="645"/>
      <c r="DE4" s="645"/>
      <c r="DF4" s="645"/>
      <c r="DG4" s="645"/>
      <c r="DH4" s="645"/>
      <c r="DI4" s="645"/>
      <c r="DJ4" s="645"/>
      <c r="DK4" s="645"/>
      <c r="DL4" s="645"/>
      <c r="DM4" s="645"/>
      <c r="DN4" s="645"/>
      <c r="DO4" s="645"/>
      <c r="DP4" s="645"/>
      <c r="DQ4" s="645"/>
      <c r="DR4" s="645"/>
      <c r="DS4" s="645"/>
      <c r="DT4" s="645"/>
      <c r="DU4" s="645"/>
      <c r="DV4" s="645"/>
      <c r="DW4" s="645"/>
      <c r="DX4" s="645"/>
      <c r="DY4" s="645"/>
      <c r="DZ4" s="645"/>
    </row>
    <row r="5" spans="1:130">
      <c r="A5" s="428"/>
      <c r="D5" s="423"/>
      <c r="E5" s="443" t="b">
        <v>1</v>
      </c>
      <c r="F5" s="460" t="str">
        <f t="shared" si="0"/>
        <v>SN</v>
      </c>
      <c r="G5" s="425">
        <v>0</v>
      </c>
      <c r="H5" s="425" t="s">
        <v>67</v>
      </c>
      <c r="I5" s="461">
        <f t="shared" si="1"/>
        <v>-0.38</v>
      </c>
      <c r="J5" s="462"/>
      <c r="K5" s="463"/>
      <c r="L5" s="464">
        <f t="shared" si="3"/>
        <v>-0.38</v>
      </c>
      <c r="M5" s="465">
        <f t="shared" si="4"/>
        <v>3</v>
      </c>
      <c r="N5" s="466">
        <f t="shared" si="2"/>
        <v>3</v>
      </c>
      <c r="O5" s="465">
        <f t="shared" si="5"/>
        <v>3</v>
      </c>
      <c r="P5" s="466">
        <f t="shared" si="6"/>
        <v>3</v>
      </c>
      <c r="Q5" s="465">
        <f t="shared" si="7"/>
        <v>0</v>
      </c>
      <c r="R5" s="425" t="str">
        <f t="shared" si="8"/>
        <v>sn</v>
      </c>
      <c r="S5" s="464">
        <f t="shared" si="9"/>
        <v>-0.38</v>
      </c>
      <c r="T5" s="423"/>
      <c r="U5" s="469">
        <v>43178</v>
      </c>
      <c r="V5" s="470">
        <v>1.0000316676611423</v>
      </c>
      <c r="W5" s="426"/>
      <c r="X5" s="472" t="s">
        <v>68</v>
      </c>
      <c r="Y5" s="473">
        <f>_xll.RtGet($AE$3,$AE$4&amp;$X5&amp;$AE$5,Y$2)</f>
        <v>-0.38</v>
      </c>
      <c r="Z5" s="474">
        <f>_xll.RtGet($AE$3,$AE$4&amp;$X5&amp;$AE$5,Z$2)</f>
        <v>-0.38</v>
      </c>
      <c r="AA5" s="423"/>
      <c r="AB5" s="423"/>
      <c r="AC5" s="423"/>
      <c r="AD5" s="482" t="s">
        <v>1022</v>
      </c>
      <c r="AE5" s="483" t="s">
        <v>1025</v>
      </c>
      <c r="AF5" s="426"/>
      <c r="AG5" s="475" t="s">
        <v>1026</v>
      </c>
      <c r="AH5" s="475">
        <v>2</v>
      </c>
      <c r="AI5" s="426"/>
      <c r="AJ5" s="475" t="s">
        <v>1021</v>
      </c>
      <c r="AK5" s="437"/>
      <c r="AL5" s="422"/>
      <c r="AM5" s="484" t="s">
        <v>1027</v>
      </c>
      <c r="AN5" s="485" t="s">
        <v>1028</v>
      </c>
      <c r="AO5" s="423"/>
      <c r="AP5" s="478" t="b">
        <v>1</v>
      </c>
      <c r="AQ5" s="486" t="str">
        <f>IF(BI5="SW","1W", IF(BI5="1Y","12M", BI5))</f>
        <v>SN</v>
      </c>
      <c r="AR5" s="465">
        <f t="shared" si="10"/>
        <v>0</v>
      </c>
      <c r="AS5" s="466" t="s">
        <v>67</v>
      </c>
      <c r="AT5" s="461">
        <f>AVERAGE(BJ5:BK5)</f>
        <v>-0.36598432000000003</v>
      </c>
      <c r="AU5" s="462"/>
      <c r="AV5" s="463"/>
      <c r="AW5" s="464">
        <f t="shared" si="11"/>
        <v>-0.36598432000000003</v>
      </c>
      <c r="AX5" s="465">
        <f t="shared" ref="AX5:AX64" si="17">AX4+1</f>
        <v>3</v>
      </c>
      <c r="AY5" s="466">
        <f t="shared" si="12"/>
        <v>3</v>
      </c>
      <c r="AZ5" s="465">
        <f t="shared" ref="AZ5:AZ64" si="18">IF(AZ4&lt;$BD$2,AZ4+1,"")</f>
        <v>3</v>
      </c>
      <c r="BA5" s="466">
        <f t="shared" si="13"/>
        <v>3</v>
      </c>
      <c r="BB5" s="465">
        <f t="shared" si="14"/>
        <v>0</v>
      </c>
      <c r="BC5" s="425" t="str">
        <f t="shared" si="15"/>
        <v>sn</v>
      </c>
      <c r="BD5" s="464">
        <f t="shared" si="16"/>
        <v>-0.36598432000000003</v>
      </c>
      <c r="BE5" s="423"/>
      <c r="BF5" s="480" t="str">
        <v>-</v>
      </c>
      <c r="BG5" s="470" t="str">
        <v>-</v>
      </c>
      <c r="BH5" s="426"/>
      <c r="BI5" s="487" t="s">
        <v>68</v>
      </c>
      <c r="BJ5" s="488">
        <f>_xll.RtGet($BN$2,$BN$3&amp;BI5&amp;$BN$4,BJ$2)</f>
        <v>-0.36598432000000003</v>
      </c>
      <c r="BK5" s="489">
        <f>_xll.RtGet($BN$2,$BN$3&amp;BI5&amp;$BN$4,BK$2)</f>
        <v>-0.36598432000000003</v>
      </c>
      <c r="BL5" s="423"/>
      <c r="BM5" s="423"/>
      <c r="BN5" s="423"/>
      <c r="BO5" s="421"/>
      <c r="BP5" s="644"/>
      <c r="BQ5" s="645"/>
      <c r="BR5" s="645"/>
      <c r="BS5" s="645"/>
      <c r="BT5" s="645"/>
      <c r="BU5" s="645"/>
      <c r="BV5" s="645"/>
      <c r="BW5" s="645"/>
      <c r="BX5" s="645"/>
      <c r="BY5" s="645"/>
      <c r="BZ5" s="645"/>
      <c r="CA5" s="645"/>
      <c r="CB5" s="645"/>
      <c r="CC5" s="645"/>
      <c r="CD5" s="645"/>
      <c r="CE5" s="645"/>
      <c r="CF5" s="645"/>
      <c r="CG5" s="645"/>
      <c r="CH5" s="645"/>
      <c r="CI5" s="645"/>
      <c r="CJ5" s="645"/>
      <c r="CK5" s="645"/>
      <c r="CL5" s="645"/>
      <c r="CM5" s="645"/>
      <c r="CN5" s="645"/>
      <c r="CO5" s="645"/>
      <c r="CP5" s="645"/>
      <c r="CQ5" s="645"/>
      <c r="CR5" s="645"/>
      <c r="CS5" s="645"/>
      <c r="CT5" s="645"/>
      <c r="CU5" s="645"/>
      <c r="CV5" s="645"/>
      <c r="CW5" s="645"/>
      <c r="CX5" s="645"/>
      <c r="CY5" s="645"/>
      <c r="CZ5" s="645"/>
      <c r="DA5" s="645"/>
      <c r="DB5" s="645"/>
      <c r="DC5" s="645"/>
      <c r="DD5" s="645"/>
      <c r="DE5" s="645"/>
      <c r="DF5" s="645"/>
      <c r="DG5" s="645"/>
      <c r="DH5" s="645"/>
      <c r="DI5" s="645"/>
      <c r="DJ5" s="645"/>
      <c r="DK5" s="645"/>
      <c r="DL5" s="645"/>
      <c r="DM5" s="645"/>
      <c r="DN5" s="645"/>
      <c r="DO5" s="645"/>
      <c r="DP5" s="645"/>
      <c r="DQ5" s="645"/>
      <c r="DR5" s="645"/>
      <c r="DS5" s="645"/>
      <c r="DT5" s="645"/>
      <c r="DU5" s="645"/>
      <c r="DV5" s="645"/>
      <c r="DW5" s="645"/>
      <c r="DX5" s="645"/>
      <c r="DY5" s="645"/>
      <c r="DZ5" s="645"/>
    </row>
    <row r="6" spans="1:130">
      <c r="A6" s="428"/>
      <c r="B6" s="426"/>
      <c r="C6" s="426"/>
      <c r="D6" s="423"/>
      <c r="E6" s="490" t="b">
        <v>1</v>
      </c>
      <c r="F6" s="491" t="str">
        <f t="shared" si="0"/>
        <v>SW</v>
      </c>
      <c r="G6" s="445">
        <v>1</v>
      </c>
      <c r="H6" s="445" t="s">
        <v>69</v>
      </c>
      <c r="I6" s="446">
        <f t="shared" si="1"/>
        <v>-0.38</v>
      </c>
      <c r="J6" s="447"/>
      <c r="K6" s="448"/>
      <c r="L6" s="449">
        <f t="shared" si="3"/>
        <v>-0.38</v>
      </c>
      <c r="M6" s="465">
        <f t="shared" si="4"/>
        <v>4</v>
      </c>
      <c r="N6" s="466">
        <f t="shared" si="2"/>
        <v>4</v>
      </c>
      <c r="O6" s="465">
        <f t="shared" si="5"/>
        <v>4</v>
      </c>
      <c r="P6" s="466">
        <f t="shared" si="6"/>
        <v>4</v>
      </c>
      <c r="Q6" s="465">
        <f t="shared" si="7"/>
        <v>1</v>
      </c>
      <c r="R6" s="425" t="str">
        <f t="shared" si="8"/>
        <v>w</v>
      </c>
      <c r="S6" s="464">
        <f t="shared" si="9"/>
        <v>-0.38</v>
      </c>
      <c r="T6" s="423"/>
      <c r="U6" s="469">
        <v>43179</v>
      </c>
      <c r="V6" s="470">
        <v>1.000042223662392</v>
      </c>
      <c r="W6" s="426"/>
      <c r="X6" s="472" t="s">
        <v>1029</v>
      </c>
      <c r="Y6" s="473">
        <f>_xll.RtGet($AE$3,$AE$4&amp;$X6&amp;$AE$5,Y$2)</f>
        <v>-0.38</v>
      </c>
      <c r="Z6" s="474">
        <f>_xll.RtGet($AE$3,$AE$4&amp;$X6&amp;$AE$5,Z$2)</f>
        <v>-0.38</v>
      </c>
      <c r="AA6" s="423"/>
      <c r="AB6" s="423"/>
      <c r="AC6" s="423"/>
      <c r="AD6" s="423"/>
      <c r="AE6" s="423"/>
      <c r="AF6" s="426"/>
      <c r="AG6" s="475" t="s">
        <v>1030</v>
      </c>
      <c r="AH6" s="475">
        <v>3</v>
      </c>
      <c r="AI6" s="426"/>
      <c r="AJ6" s="475" t="s">
        <v>1031</v>
      </c>
      <c r="AK6" s="437"/>
      <c r="AL6" s="422"/>
      <c r="AM6" s="484" t="s">
        <v>1032</v>
      </c>
      <c r="AN6" s="485" t="s">
        <v>76</v>
      </c>
      <c r="AO6" s="423"/>
      <c r="AP6" s="478" t="b">
        <v>1</v>
      </c>
      <c r="AQ6" s="486" t="str">
        <f>IF(BI8="SW","1W", IF(BI8="1Y","12M", BI8))</f>
        <v>1W</v>
      </c>
      <c r="AR6" s="465">
        <f t="shared" si="10"/>
        <v>1</v>
      </c>
      <c r="AS6" s="466" t="s">
        <v>69</v>
      </c>
      <c r="AT6" s="461">
        <f>AVERAGE(BJ8:BK8)</f>
        <v>-0.36399999999999999</v>
      </c>
      <c r="AU6" s="462"/>
      <c r="AV6" s="463"/>
      <c r="AW6" s="464">
        <f t="shared" si="11"/>
        <v>-0.36399999999999999</v>
      </c>
      <c r="AX6" s="465">
        <f t="shared" si="17"/>
        <v>4</v>
      </c>
      <c r="AY6" s="466">
        <f t="shared" si="12"/>
        <v>4</v>
      </c>
      <c r="AZ6" s="465">
        <f t="shared" si="18"/>
        <v>4</v>
      </c>
      <c r="BA6" s="466">
        <f t="shared" si="13"/>
        <v>4</v>
      </c>
      <c r="BB6" s="465">
        <f t="shared" si="14"/>
        <v>1</v>
      </c>
      <c r="BC6" s="425" t="str">
        <f t="shared" si="15"/>
        <v>w</v>
      </c>
      <c r="BD6" s="464">
        <f t="shared" si="16"/>
        <v>-0.36399999999999999</v>
      </c>
      <c r="BE6" s="423"/>
      <c r="BF6" s="480" t="str">
        <v>-</v>
      </c>
      <c r="BG6" s="470" t="str">
        <v>-</v>
      </c>
      <c r="BH6" s="426"/>
      <c r="BI6" s="423"/>
      <c r="BJ6" s="423"/>
      <c r="BK6" s="423"/>
      <c r="BL6" s="423"/>
      <c r="BM6" s="423"/>
      <c r="BN6" s="423"/>
      <c r="BO6" s="421"/>
      <c r="BP6" s="644"/>
      <c r="BQ6" s="645"/>
      <c r="BR6" s="645"/>
      <c r="BS6" s="645"/>
      <c r="BT6" s="645"/>
      <c r="BU6" s="645"/>
      <c r="BV6" s="645"/>
      <c r="BW6" s="645"/>
      <c r="BX6" s="645"/>
      <c r="BY6" s="645"/>
      <c r="BZ6" s="645"/>
      <c r="CA6" s="645"/>
      <c r="CB6" s="645"/>
      <c r="CC6" s="645"/>
      <c r="CD6" s="645"/>
      <c r="CE6" s="645"/>
      <c r="CF6" s="645"/>
      <c r="CG6" s="645"/>
      <c r="CH6" s="645"/>
      <c r="CI6" s="645"/>
      <c r="CJ6" s="645"/>
      <c r="CK6" s="645"/>
      <c r="CL6" s="645"/>
      <c r="CM6" s="645"/>
      <c r="CN6" s="645"/>
      <c r="CO6" s="645"/>
      <c r="CP6" s="645"/>
      <c r="CQ6" s="645"/>
      <c r="CR6" s="645"/>
      <c r="CS6" s="645"/>
      <c r="CT6" s="645"/>
      <c r="CU6" s="645"/>
      <c r="CV6" s="645"/>
      <c r="CW6" s="645"/>
      <c r="CX6" s="645"/>
      <c r="CY6" s="645"/>
      <c r="CZ6" s="645"/>
      <c r="DA6" s="645"/>
      <c r="DB6" s="645"/>
      <c r="DC6" s="645"/>
      <c r="DD6" s="645"/>
      <c r="DE6" s="645"/>
      <c r="DF6" s="645"/>
      <c r="DG6" s="645"/>
      <c r="DH6" s="645"/>
      <c r="DI6" s="645"/>
      <c r="DJ6" s="645"/>
      <c r="DK6" s="645"/>
      <c r="DL6" s="645"/>
      <c r="DM6" s="645"/>
      <c r="DN6" s="645"/>
      <c r="DO6" s="645"/>
      <c r="DP6" s="645"/>
      <c r="DQ6" s="645"/>
      <c r="DR6" s="645"/>
      <c r="DS6" s="645"/>
      <c r="DT6" s="645"/>
      <c r="DU6" s="645"/>
      <c r="DV6" s="645"/>
      <c r="DW6" s="645"/>
      <c r="DX6" s="645"/>
      <c r="DY6" s="645"/>
      <c r="DZ6" s="645"/>
    </row>
    <row r="7" spans="1:130">
      <c r="A7" s="428"/>
      <c r="B7" s="426"/>
      <c r="C7" s="426"/>
      <c r="D7" s="423"/>
      <c r="E7" s="443" t="b">
        <v>1</v>
      </c>
      <c r="F7" s="492" t="str">
        <f t="shared" si="0"/>
        <v>2W</v>
      </c>
      <c r="G7" s="425">
        <v>2</v>
      </c>
      <c r="H7" s="425" t="s">
        <v>69</v>
      </c>
      <c r="I7" s="461">
        <f t="shared" si="1"/>
        <v>-0.38</v>
      </c>
      <c r="J7" s="462"/>
      <c r="K7" s="463"/>
      <c r="L7" s="464">
        <f t="shared" si="3"/>
        <v>-0.38</v>
      </c>
      <c r="M7" s="465">
        <f t="shared" si="4"/>
        <v>5</v>
      </c>
      <c r="N7" s="466">
        <f t="shared" si="2"/>
        <v>5</v>
      </c>
      <c r="O7" s="465">
        <f t="shared" si="5"/>
        <v>5</v>
      </c>
      <c r="P7" s="466">
        <f t="shared" si="6"/>
        <v>5</v>
      </c>
      <c r="Q7" s="465">
        <f t="shared" si="7"/>
        <v>2</v>
      </c>
      <c r="R7" s="425" t="str">
        <f t="shared" si="8"/>
        <v>w</v>
      </c>
      <c r="S7" s="464">
        <f t="shared" si="9"/>
        <v>-0.38</v>
      </c>
      <c r="T7" s="423"/>
      <c r="U7" s="469">
        <v>43180</v>
      </c>
      <c r="V7" s="470">
        <v>1.0000527797750676</v>
      </c>
      <c r="W7" s="426"/>
      <c r="X7" s="472" t="s">
        <v>1033</v>
      </c>
      <c r="Y7" s="473">
        <f>_xll.RtGet($AE$3,$AE$4&amp;$X7&amp;$AE$5,Y$2)</f>
        <v>-0.38</v>
      </c>
      <c r="Z7" s="474">
        <f>_xll.RtGet($AE$3,$AE$4&amp;$X7&amp;$AE$5,Z$2)</f>
        <v>-0.38</v>
      </c>
      <c r="AA7" s="423"/>
      <c r="AB7" s="423"/>
      <c r="AC7" s="426"/>
      <c r="AD7" s="426"/>
      <c r="AE7" s="426"/>
      <c r="AF7" s="426"/>
      <c r="AG7" s="475" t="s">
        <v>1034</v>
      </c>
      <c r="AH7" s="475">
        <v>4</v>
      </c>
      <c r="AI7" s="426"/>
      <c r="AJ7" s="493" t="s">
        <v>1035</v>
      </c>
      <c r="AK7" s="437"/>
      <c r="AL7" s="422"/>
      <c r="AM7" s="494" t="s">
        <v>1036</v>
      </c>
      <c r="AN7" s="495" t="s">
        <v>1037</v>
      </c>
      <c r="AO7" s="423"/>
      <c r="AP7" s="478" t="b">
        <v>1</v>
      </c>
      <c r="AQ7" s="496" t="str">
        <f t="shared" ref="AQ7:AQ64" si="19">IF(BI9="SW","1W", IF(BI9="1Y","12M", BI9))</f>
        <v>2W</v>
      </c>
      <c r="AR7" s="465">
        <f t="shared" si="10"/>
        <v>2</v>
      </c>
      <c r="AS7" s="466" t="s">
        <v>69</v>
      </c>
      <c r="AT7" s="461">
        <f t="shared" ref="AT7:AT64" si="20">AVERAGE(BJ9:BK9)</f>
        <v>-0.35499999999999998</v>
      </c>
      <c r="AU7" s="462"/>
      <c r="AV7" s="463"/>
      <c r="AW7" s="464">
        <f t="shared" si="11"/>
        <v>-0.35499999999999998</v>
      </c>
      <c r="AX7" s="465">
        <f t="shared" si="17"/>
        <v>5</v>
      </c>
      <c r="AY7" s="466">
        <f t="shared" si="12"/>
        <v>5</v>
      </c>
      <c r="AZ7" s="465">
        <f t="shared" si="18"/>
        <v>5</v>
      </c>
      <c r="BA7" s="466">
        <f t="shared" si="13"/>
        <v>5</v>
      </c>
      <c r="BB7" s="465">
        <f t="shared" si="14"/>
        <v>2</v>
      </c>
      <c r="BC7" s="425" t="str">
        <f t="shared" si="15"/>
        <v>w</v>
      </c>
      <c r="BD7" s="464">
        <f t="shared" si="16"/>
        <v>-0.35499999999999998</v>
      </c>
      <c r="BE7" s="423"/>
      <c r="BF7" s="480" t="str">
        <v>-</v>
      </c>
      <c r="BG7" s="470" t="str">
        <v>-</v>
      </c>
      <c r="BH7" s="426"/>
      <c r="BI7" s="497" t="s">
        <v>1038</v>
      </c>
      <c r="BJ7" s="438" t="s">
        <v>16</v>
      </c>
      <c r="BK7" s="439" t="s">
        <v>17</v>
      </c>
      <c r="BL7" s="426"/>
      <c r="BM7" s="440" t="s">
        <v>1007</v>
      </c>
      <c r="BN7" s="441" t="s">
        <v>1008</v>
      </c>
      <c r="BO7" s="421"/>
      <c r="BP7" s="644"/>
      <c r="BQ7" s="645"/>
      <c r="BR7" s="645"/>
      <c r="BS7" s="645"/>
      <c r="BT7" s="645"/>
      <c r="BU7" s="645"/>
      <c r="BV7" s="645"/>
      <c r="BW7" s="645"/>
      <c r="BX7" s="645"/>
      <c r="BY7" s="645"/>
      <c r="BZ7" s="645"/>
      <c r="CA7" s="645"/>
      <c r="CB7" s="645"/>
      <c r="CC7" s="645"/>
      <c r="CD7" s="645"/>
      <c r="CE7" s="645"/>
      <c r="CF7" s="645"/>
      <c r="CG7" s="645"/>
      <c r="CH7" s="645"/>
      <c r="CI7" s="645"/>
      <c r="CJ7" s="645"/>
      <c r="CK7" s="645"/>
      <c r="CL7" s="645"/>
      <c r="CM7" s="645"/>
      <c r="CN7" s="645"/>
      <c r="CO7" s="645"/>
      <c r="CP7" s="645"/>
      <c r="CQ7" s="645"/>
      <c r="CR7" s="645"/>
      <c r="CS7" s="645"/>
      <c r="CT7" s="645"/>
      <c r="CU7" s="645"/>
      <c r="CV7" s="645"/>
      <c r="CW7" s="645"/>
      <c r="CX7" s="645"/>
      <c r="CY7" s="645"/>
      <c r="CZ7" s="645"/>
      <c r="DA7" s="645"/>
      <c r="DB7" s="645"/>
      <c r="DC7" s="645"/>
      <c r="DD7" s="645"/>
      <c r="DE7" s="645"/>
      <c r="DF7" s="645"/>
      <c r="DG7" s="645"/>
      <c r="DH7" s="645"/>
      <c r="DI7" s="645"/>
      <c r="DJ7" s="645"/>
      <c r="DK7" s="645"/>
      <c r="DL7" s="645"/>
      <c r="DM7" s="645"/>
      <c r="DN7" s="645"/>
      <c r="DO7" s="645"/>
      <c r="DP7" s="645"/>
      <c r="DQ7" s="645"/>
      <c r="DR7" s="645"/>
      <c r="DS7" s="645"/>
      <c r="DT7" s="645"/>
      <c r="DU7" s="645"/>
      <c r="DV7" s="645"/>
      <c r="DW7" s="645"/>
      <c r="DX7" s="645"/>
      <c r="DY7" s="645"/>
      <c r="DZ7" s="645"/>
    </row>
    <row r="8" spans="1:130">
      <c r="A8" s="428"/>
      <c r="B8" s="426"/>
      <c r="C8" s="426"/>
      <c r="D8" s="423"/>
      <c r="E8" s="498" t="b">
        <v>1</v>
      </c>
      <c r="F8" s="499" t="str">
        <f t="shared" si="0"/>
        <v>3W</v>
      </c>
      <c r="G8" s="500">
        <v>3</v>
      </c>
      <c r="H8" s="500" t="s">
        <v>69</v>
      </c>
      <c r="I8" s="501">
        <f t="shared" si="1"/>
        <v>-0.38</v>
      </c>
      <c r="J8" s="502"/>
      <c r="K8" s="503"/>
      <c r="L8" s="504">
        <f t="shared" si="3"/>
        <v>-0.38</v>
      </c>
      <c r="M8" s="465">
        <f t="shared" si="4"/>
        <v>6</v>
      </c>
      <c r="N8" s="466">
        <f t="shared" si="2"/>
        <v>6</v>
      </c>
      <c r="O8" s="465">
        <f t="shared" si="5"/>
        <v>6</v>
      </c>
      <c r="P8" s="466">
        <f t="shared" si="6"/>
        <v>6</v>
      </c>
      <c r="Q8" s="465">
        <f t="shared" si="7"/>
        <v>3</v>
      </c>
      <c r="R8" s="425" t="str">
        <f t="shared" si="8"/>
        <v>w</v>
      </c>
      <c r="S8" s="464">
        <f t="shared" si="9"/>
        <v>-0.38</v>
      </c>
      <c r="T8" s="423"/>
      <c r="U8" s="469">
        <v>43186</v>
      </c>
      <c r="V8" s="470">
        <v>1.0001161211313423</v>
      </c>
      <c r="W8" s="426"/>
      <c r="X8" s="472" t="s">
        <v>1039</v>
      </c>
      <c r="Y8" s="473">
        <f>_xll.RtGet($AE$3,$AE$4&amp;$X8&amp;$AE$5,Y$2)</f>
        <v>-0.38</v>
      </c>
      <c r="Z8" s="474">
        <f>_xll.RtGet($AE$3,$AE$4&amp;$X8&amp;$AE$5,Z$2)</f>
        <v>-0.38</v>
      </c>
      <c r="AA8" s="423"/>
      <c r="AB8" s="423"/>
      <c r="AC8" s="426"/>
      <c r="AD8" s="426"/>
      <c r="AE8" s="426"/>
      <c r="AF8" s="426"/>
      <c r="AG8" s="475" t="s">
        <v>1037</v>
      </c>
      <c r="AH8" s="475">
        <v>5</v>
      </c>
      <c r="AI8" s="426"/>
      <c r="AJ8" s="426"/>
      <c r="AK8" s="437"/>
      <c r="AL8" s="422"/>
      <c r="AM8" s="426"/>
      <c r="AN8" s="426"/>
      <c r="AO8" s="423"/>
      <c r="AP8" s="478" t="b">
        <v>1</v>
      </c>
      <c r="AQ8" s="496" t="str">
        <f t="shared" si="19"/>
        <v>3W</v>
      </c>
      <c r="AR8" s="465">
        <f t="shared" si="10"/>
        <v>3</v>
      </c>
      <c r="AS8" s="466" t="s">
        <v>69</v>
      </c>
      <c r="AT8" s="461">
        <f t="shared" si="20"/>
        <v>-0.35799999999999998</v>
      </c>
      <c r="AU8" s="462"/>
      <c r="AV8" s="463"/>
      <c r="AW8" s="464">
        <f t="shared" si="11"/>
        <v>-0.35799999999999998</v>
      </c>
      <c r="AX8" s="465">
        <f t="shared" si="17"/>
        <v>6</v>
      </c>
      <c r="AY8" s="466">
        <f t="shared" si="12"/>
        <v>6</v>
      </c>
      <c r="AZ8" s="465">
        <f t="shared" si="18"/>
        <v>6</v>
      </c>
      <c r="BA8" s="466">
        <f t="shared" si="13"/>
        <v>6</v>
      </c>
      <c r="BB8" s="465">
        <f t="shared" si="14"/>
        <v>3</v>
      </c>
      <c r="BC8" s="425" t="str">
        <f t="shared" si="15"/>
        <v>w</v>
      </c>
      <c r="BD8" s="464">
        <f t="shared" si="16"/>
        <v>-0.35799999999999998</v>
      </c>
      <c r="BE8" s="423"/>
      <c r="BF8" s="480" t="str">
        <v>-</v>
      </c>
      <c r="BG8" s="470" t="str">
        <v>-</v>
      </c>
      <c r="BH8" s="426"/>
      <c r="BI8" s="505" t="s">
        <v>1029</v>
      </c>
      <c r="BJ8" s="454">
        <f>_xll.RtGet($BN$7,$BN$8&amp;BI8&amp;$BN$9,$BJ$7)</f>
        <v>-0.36399999999999999</v>
      </c>
      <c r="BK8" s="455">
        <f>_xll.RtGet($BN$7,$BN$8&amp;BI8&amp;$BN$9,$BK$7)</f>
        <v>-0.36399999999999999</v>
      </c>
      <c r="BL8" s="426"/>
      <c r="BM8" s="458" t="s">
        <v>1013</v>
      </c>
      <c r="BN8" s="459" t="s">
        <v>1040</v>
      </c>
      <c r="BO8" s="421"/>
      <c r="BP8" s="644"/>
      <c r="BQ8" s="645"/>
      <c r="BR8" s="645"/>
      <c r="BS8" s="645"/>
      <c r="BT8" s="645"/>
      <c r="BU8" s="645"/>
      <c r="BV8" s="645"/>
      <c r="BW8" s="645"/>
      <c r="BX8" s="645"/>
      <c r="BY8" s="645"/>
      <c r="BZ8" s="645"/>
      <c r="CA8" s="645"/>
      <c r="CB8" s="645"/>
      <c r="CC8" s="645"/>
      <c r="CD8" s="645"/>
      <c r="CE8" s="645"/>
      <c r="CF8" s="645"/>
      <c r="CG8" s="645"/>
      <c r="CH8" s="645"/>
      <c r="CI8" s="645"/>
      <c r="CJ8" s="645"/>
      <c r="CK8" s="645"/>
      <c r="CL8" s="645"/>
      <c r="CM8" s="645"/>
      <c r="CN8" s="645"/>
      <c r="CO8" s="645"/>
      <c r="CP8" s="645"/>
      <c r="CQ8" s="645"/>
      <c r="CR8" s="645"/>
      <c r="CS8" s="645"/>
      <c r="CT8" s="645"/>
      <c r="CU8" s="645"/>
      <c r="CV8" s="645"/>
      <c r="CW8" s="645"/>
      <c r="CX8" s="645"/>
      <c r="CY8" s="645"/>
      <c r="CZ8" s="645"/>
      <c r="DA8" s="645"/>
      <c r="DB8" s="645"/>
      <c r="DC8" s="645"/>
      <c r="DD8" s="645"/>
      <c r="DE8" s="645"/>
      <c r="DF8" s="645"/>
      <c r="DG8" s="645"/>
      <c r="DH8" s="645"/>
      <c r="DI8" s="645"/>
      <c r="DJ8" s="645"/>
      <c r="DK8" s="645"/>
      <c r="DL8" s="645"/>
      <c r="DM8" s="645"/>
      <c r="DN8" s="645"/>
      <c r="DO8" s="645"/>
      <c r="DP8" s="645"/>
      <c r="DQ8" s="645"/>
      <c r="DR8" s="645"/>
      <c r="DS8" s="645"/>
      <c r="DT8" s="645"/>
      <c r="DU8" s="645"/>
      <c r="DV8" s="645"/>
      <c r="DW8" s="645"/>
      <c r="DX8" s="645"/>
      <c r="DY8" s="645"/>
      <c r="DZ8" s="645"/>
    </row>
    <row r="9" spans="1:130">
      <c r="A9" s="428"/>
      <c r="B9" s="426"/>
      <c r="C9" s="426"/>
      <c r="D9" s="423"/>
      <c r="E9" s="443" t="b">
        <v>1</v>
      </c>
      <c r="F9" s="506" t="str">
        <f t="shared" si="0"/>
        <v>1M</v>
      </c>
      <c r="G9" s="425">
        <v>1</v>
      </c>
      <c r="H9" s="425" t="s">
        <v>70</v>
      </c>
      <c r="I9" s="461">
        <f t="shared" si="1"/>
        <v>-0.37</v>
      </c>
      <c r="J9" s="462"/>
      <c r="K9" s="463"/>
      <c r="L9" s="464">
        <f t="shared" si="3"/>
        <v>-0.37</v>
      </c>
      <c r="M9" s="465">
        <f t="shared" si="4"/>
        <v>7</v>
      </c>
      <c r="N9" s="466">
        <f t="shared" si="2"/>
        <v>7</v>
      </c>
      <c r="O9" s="465">
        <f t="shared" si="5"/>
        <v>7</v>
      </c>
      <c r="P9" s="466">
        <f t="shared" si="6"/>
        <v>7</v>
      </c>
      <c r="Q9" s="465">
        <f t="shared" si="7"/>
        <v>1</v>
      </c>
      <c r="R9" s="425" t="str">
        <f t="shared" si="8"/>
        <v>m</v>
      </c>
      <c r="S9" s="464">
        <f t="shared" si="9"/>
        <v>-0.37</v>
      </c>
      <c r="T9" s="423"/>
      <c r="U9" s="469">
        <v>43193</v>
      </c>
      <c r="V9" s="470">
        <v>1.0001900295223103</v>
      </c>
      <c r="W9" s="426"/>
      <c r="X9" s="472" t="s">
        <v>71</v>
      </c>
      <c r="Y9" s="473">
        <f>_xll.RtGet($AE$3,$AE$4&amp;$X9&amp;$AE$5,Y$2)</f>
        <v>-0.37</v>
      </c>
      <c r="Z9" s="474">
        <f>_xll.RtGet($AE$3,$AE$4&amp;$X9&amp;$AE$5,Z$2)</f>
        <v>-0.37</v>
      </c>
      <c r="AA9" s="423"/>
      <c r="AB9" s="423"/>
      <c r="AC9" s="426"/>
      <c r="AD9" s="426"/>
      <c r="AE9" s="426"/>
      <c r="AF9" s="426"/>
      <c r="AG9" s="475" t="s">
        <v>1041</v>
      </c>
      <c r="AH9" s="475">
        <v>6</v>
      </c>
      <c r="AI9" s="426"/>
      <c r="AJ9" s="436" t="s">
        <v>1042</v>
      </c>
      <c r="AK9" s="437"/>
      <c r="AL9" s="422"/>
      <c r="AM9" s="507" t="s">
        <v>1043</v>
      </c>
      <c r="AN9" s="508" t="s">
        <v>1044</v>
      </c>
      <c r="AO9" s="423"/>
      <c r="AP9" s="478" t="b">
        <v>1</v>
      </c>
      <c r="AQ9" s="509" t="str">
        <f t="shared" si="19"/>
        <v>1M</v>
      </c>
      <c r="AR9" s="465">
        <f t="shared" si="10"/>
        <v>1</v>
      </c>
      <c r="AS9" s="466" t="s">
        <v>70</v>
      </c>
      <c r="AT9" s="461">
        <f t="shared" si="20"/>
        <v>-0.36</v>
      </c>
      <c r="AU9" s="462"/>
      <c r="AV9" s="463"/>
      <c r="AW9" s="464">
        <f t="shared" si="11"/>
        <v>-0.36</v>
      </c>
      <c r="AX9" s="465">
        <f t="shared" si="17"/>
        <v>7</v>
      </c>
      <c r="AY9" s="466">
        <f t="shared" si="12"/>
        <v>7</v>
      </c>
      <c r="AZ9" s="465">
        <f t="shared" si="18"/>
        <v>7</v>
      </c>
      <c r="BA9" s="466">
        <f t="shared" si="13"/>
        <v>7</v>
      </c>
      <c r="BB9" s="465">
        <f t="shared" si="14"/>
        <v>1</v>
      </c>
      <c r="BC9" s="425" t="str">
        <f t="shared" si="15"/>
        <v>m</v>
      </c>
      <c r="BD9" s="464">
        <f t="shared" si="16"/>
        <v>-0.36</v>
      </c>
      <c r="BE9" s="423"/>
      <c r="BF9" s="480" t="str">
        <v>-</v>
      </c>
      <c r="BG9" s="470" t="str">
        <v>-</v>
      </c>
      <c r="BH9" s="426"/>
      <c r="BI9" s="510" t="s">
        <v>1033</v>
      </c>
      <c r="BJ9" s="473">
        <f>_xll.RtGet($BN$7,$BN$8&amp;BI9&amp;$BN$9,$BJ$7)</f>
        <v>-0.35499999999999998</v>
      </c>
      <c r="BK9" s="474">
        <f>_xll.RtGet($BN$7,$BN$8&amp;BI9&amp;$BN$9,$BK$7)</f>
        <v>-0.35499999999999998</v>
      </c>
      <c r="BL9" s="426"/>
      <c r="BM9" s="511" t="s">
        <v>1022</v>
      </c>
      <c r="BN9" s="512" t="s">
        <v>1023</v>
      </c>
      <c r="BO9" s="421"/>
      <c r="BP9" s="644"/>
      <c r="BQ9" s="645"/>
      <c r="BR9" s="645"/>
      <c r="BS9" s="645"/>
      <c r="BT9" s="645"/>
      <c r="BU9" s="645"/>
      <c r="BV9" s="645"/>
      <c r="BW9" s="645"/>
      <c r="BX9" s="645"/>
      <c r="BY9" s="645"/>
      <c r="BZ9" s="645"/>
      <c r="CA9" s="645"/>
      <c r="CB9" s="645"/>
      <c r="CC9" s="645"/>
      <c r="CD9" s="645"/>
      <c r="CE9" s="645"/>
      <c r="CF9" s="645"/>
      <c r="CG9" s="645"/>
      <c r="CH9" s="645"/>
      <c r="CI9" s="645"/>
      <c r="CJ9" s="645"/>
      <c r="CK9" s="645"/>
      <c r="CL9" s="645"/>
      <c r="CM9" s="645"/>
      <c r="CN9" s="645"/>
      <c r="CO9" s="645"/>
      <c r="CP9" s="645"/>
      <c r="CQ9" s="645"/>
      <c r="CR9" s="645"/>
      <c r="CS9" s="645"/>
      <c r="CT9" s="645"/>
      <c r="CU9" s="645"/>
      <c r="CV9" s="645"/>
      <c r="CW9" s="645"/>
      <c r="CX9" s="645"/>
      <c r="CY9" s="645"/>
      <c r="CZ9" s="645"/>
      <c r="DA9" s="645"/>
      <c r="DB9" s="645"/>
      <c r="DC9" s="645"/>
      <c r="DD9" s="645"/>
      <c r="DE9" s="645"/>
      <c r="DF9" s="645"/>
      <c r="DG9" s="645"/>
      <c r="DH9" s="645"/>
      <c r="DI9" s="645"/>
      <c r="DJ9" s="645"/>
      <c r="DK9" s="645"/>
      <c r="DL9" s="645"/>
      <c r="DM9" s="645"/>
      <c r="DN9" s="645"/>
      <c r="DO9" s="645"/>
      <c r="DP9" s="645"/>
      <c r="DQ9" s="645"/>
      <c r="DR9" s="645"/>
      <c r="DS9" s="645"/>
      <c r="DT9" s="645"/>
      <c r="DU9" s="645"/>
      <c r="DV9" s="645"/>
      <c r="DW9" s="645"/>
      <c r="DX9" s="645"/>
      <c r="DY9" s="645"/>
      <c r="DZ9" s="645"/>
    </row>
    <row r="10" spans="1:130">
      <c r="A10" s="428"/>
      <c r="B10" s="426"/>
      <c r="C10" s="426"/>
      <c r="D10" s="423"/>
      <c r="E10" s="443" t="b">
        <v>1</v>
      </c>
      <c r="F10" s="506" t="str">
        <f t="shared" si="0"/>
        <v>2M</v>
      </c>
      <c r="G10" s="425">
        <v>2</v>
      </c>
      <c r="H10" s="425" t="s">
        <v>70</v>
      </c>
      <c r="I10" s="461">
        <f t="shared" si="1"/>
        <v>-0.34</v>
      </c>
      <c r="J10" s="462"/>
      <c r="K10" s="463"/>
      <c r="L10" s="464">
        <f t="shared" si="3"/>
        <v>-0.34</v>
      </c>
      <c r="M10" s="465">
        <f t="shared" si="4"/>
        <v>8</v>
      </c>
      <c r="N10" s="466">
        <f t="shared" si="2"/>
        <v>8</v>
      </c>
      <c r="O10" s="465">
        <f t="shared" si="5"/>
        <v>8</v>
      </c>
      <c r="P10" s="466">
        <f t="shared" si="6"/>
        <v>8</v>
      </c>
      <c r="Q10" s="465">
        <f t="shared" si="7"/>
        <v>2</v>
      </c>
      <c r="R10" s="425" t="str">
        <f t="shared" si="8"/>
        <v>m</v>
      </c>
      <c r="S10" s="464">
        <f t="shared" si="9"/>
        <v>-0.34</v>
      </c>
      <c r="T10" s="423"/>
      <c r="U10" s="469">
        <v>43200</v>
      </c>
      <c r="V10" s="470">
        <v>1.0002639488377176</v>
      </c>
      <c r="W10" s="426"/>
      <c r="X10" s="472" t="s">
        <v>72</v>
      </c>
      <c r="Y10" s="473">
        <f>_xll.RtGet($AE$3,$AE$4&amp;$X10&amp;$AE$5,Y$2)</f>
        <v>-0.34</v>
      </c>
      <c r="Z10" s="474">
        <f>_xll.RtGet($AE$3,$AE$4&amp;$X10&amp;$AE$5,Z$2)</f>
        <v>-0.34</v>
      </c>
      <c r="AA10" s="423"/>
      <c r="AB10" s="423"/>
      <c r="AC10" s="426"/>
      <c r="AD10" s="426"/>
      <c r="AE10" s="426"/>
      <c r="AF10" s="426"/>
      <c r="AG10" s="475" t="s">
        <v>1045</v>
      </c>
      <c r="AH10" s="475">
        <v>7</v>
      </c>
      <c r="AI10" s="426"/>
      <c r="AJ10" s="456" t="s">
        <v>1028</v>
      </c>
      <c r="AK10" s="437"/>
      <c r="AL10" s="422"/>
      <c r="AM10" s="513" t="s">
        <v>1046</v>
      </c>
      <c r="AN10" s="514">
        <v>0</v>
      </c>
      <c r="AO10" s="423"/>
      <c r="AP10" s="478" t="b">
        <v>1</v>
      </c>
      <c r="AQ10" s="509" t="str">
        <f t="shared" si="19"/>
        <v>2M</v>
      </c>
      <c r="AR10" s="465">
        <f t="shared" si="10"/>
        <v>2</v>
      </c>
      <c r="AS10" s="466" t="s">
        <v>70</v>
      </c>
      <c r="AT10" s="461">
        <f t="shared" si="20"/>
        <v>-0.36</v>
      </c>
      <c r="AU10" s="462"/>
      <c r="AV10" s="463"/>
      <c r="AW10" s="464">
        <f t="shared" si="11"/>
        <v>-0.36</v>
      </c>
      <c r="AX10" s="465">
        <f t="shared" si="17"/>
        <v>8</v>
      </c>
      <c r="AY10" s="466">
        <f t="shared" si="12"/>
        <v>8</v>
      </c>
      <c r="AZ10" s="465">
        <f t="shared" si="18"/>
        <v>8</v>
      </c>
      <c r="BA10" s="466">
        <f t="shared" si="13"/>
        <v>8</v>
      </c>
      <c r="BB10" s="465">
        <f t="shared" si="14"/>
        <v>2</v>
      </c>
      <c r="BC10" s="425" t="str">
        <f t="shared" si="15"/>
        <v>m</v>
      </c>
      <c r="BD10" s="464">
        <f t="shared" si="16"/>
        <v>-0.36</v>
      </c>
      <c r="BE10" s="423"/>
      <c r="BF10" s="480" t="str">
        <v>-</v>
      </c>
      <c r="BG10" s="470" t="str">
        <v>-</v>
      </c>
      <c r="BH10" s="426"/>
      <c r="BI10" s="510" t="s">
        <v>1039</v>
      </c>
      <c r="BJ10" s="473">
        <f>_xll.RtGet($BN$7,$BN$8&amp;BI10&amp;$BN$9,$BJ$7)</f>
        <v>-0.35799999999999998</v>
      </c>
      <c r="BK10" s="474">
        <f>_xll.RtGet($BN$7,$BN$8&amp;BI10&amp;$BN$9,$BK$7)</f>
        <v>-0.35799999999999998</v>
      </c>
      <c r="BL10" s="426"/>
      <c r="BM10" s="426"/>
      <c r="BN10" s="426"/>
      <c r="BO10" s="421"/>
      <c r="BP10" s="644"/>
      <c r="BQ10" s="645"/>
      <c r="BR10" s="645"/>
      <c r="BS10" s="645"/>
      <c r="BT10" s="645"/>
      <c r="BU10" s="645"/>
      <c r="BV10" s="645"/>
      <c r="BW10" s="645"/>
      <c r="BX10" s="645"/>
      <c r="BY10" s="645"/>
      <c r="BZ10" s="645"/>
      <c r="CA10" s="645"/>
      <c r="CB10" s="645"/>
      <c r="CC10" s="645"/>
      <c r="CD10" s="645"/>
      <c r="CE10" s="645"/>
      <c r="CF10" s="645"/>
      <c r="CG10" s="645"/>
      <c r="CH10" s="645"/>
      <c r="CI10" s="645"/>
      <c r="CJ10" s="645"/>
      <c r="CK10" s="645"/>
      <c r="CL10" s="645"/>
      <c r="CM10" s="645"/>
      <c r="CN10" s="645"/>
      <c r="CO10" s="645"/>
      <c r="CP10" s="645"/>
      <c r="CQ10" s="645"/>
      <c r="CR10" s="645"/>
      <c r="CS10" s="645"/>
      <c r="CT10" s="645"/>
      <c r="CU10" s="645"/>
      <c r="CV10" s="645"/>
      <c r="CW10" s="645"/>
      <c r="CX10" s="645"/>
      <c r="CY10" s="645"/>
      <c r="CZ10" s="645"/>
      <c r="DA10" s="645"/>
      <c r="DB10" s="645"/>
      <c r="DC10" s="645"/>
      <c r="DD10" s="645"/>
      <c r="DE10" s="645"/>
      <c r="DF10" s="645"/>
      <c r="DG10" s="645"/>
      <c r="DH10" s="645"/>
      <c r="DI10" s="645"/>
      <c r="DJ10" s="645"/>
      <c r="DK10" s="645"/>
      <c r="DL10" s="645"/>
      <c r="DM10" s="645"/>
      <c r="DN10" s="645"/>
      <c r="DO10" s="645"/>
      <c r="DP10" s="645"/>
      <c r="DQ10" s="645"/>
      <c r="DR10" s="645"/>
      <c r="DS10" s="645"/>
      <c r="DT10" s="645"/>
      <c r="DU10" s="645"/>
      <c r="DV10" s="645"/>
      <c r="DW10" s="645"/>
      <c r="DX10" s="645"/>
      <c r="DY10" s="645"/>
      <c r="DZ10" s="645"/>
    </row>
    <row r="11" spans="1:130">
      <c r="A11" s="428"/>
      <c r="B11" s="426"/>
      <c r="C11" s="426"/>
      <c r="D11" s="423"/>
      <c r="E11" s="443" t="b">
        <v>1</v>
      </c>
      <c r="F11" s="506" t="str">
        <f t="shared" si="0"/>
        <v>3M</v>
      </c>
      <c r="G11" s="425">
        <v>3</v>
      </c>
      <c r="H11" s="425" t="s">
        <v>70</v>
      </c>
      <c r="I11" s="461">
        <f t="shared" si="1"/>
        <v>-0.33</v>
      </c>
      <c r="J11" s="462"/>
      <c r="K11" s="463"/>
      <c r="L11" s="464">
        <f t="shared" si="3"/>
        <v>-0.33</v>
      </c>
      <c r="M11" s="465">
        <f t="shared" si="4"/>
        <v>9</v>
      </c>
      <c r="N11" s="466">
        <f t="shared" si="2"/>
        <v>9</v>
      </c>
      <c r="O11" s="465">
        <f t="shared" si="5"/>
        <v>9</v>
      </c>
      <c r="P11" s="466">
        <f t="shared" si="6"/>
        <v>9</v>
      </c>
      <c r="Q11" s="465">
        <f t="shared" si="7"/>
        <v>3</v>
      </c>
      <c r="R11" s="425" t="str">
        <f t="shared" si="8"/>
        <v>m</v>
      </c>
      <c r="S11" s="464">
        <f t="shared" si="9"/>
        <v>-0.33</v>
      </c>
      <c r="T11" s="423"/>
      <c r="U11" s="469">
        <v>43210</v>
      </c>
      <c r="V11" s="470">
        <v>1.0003609497761126</v>
      </c>
      <c r="W11" s="426"/>
      <c r="X11" s="472" t="s">
        <v>74</v>
      </c>
      <c r="Y11" s="473">
        <f>_xll.RtGet($AE$3,$AE$4&amp;$X11&amp;$AE$5,Y$2)</f>
        <v>-0.33</v>
      </c>
      <c r="Z11" s="474">
        <f>_xll.RtGet($AE$3,$AE$4&amp;$X11&amp;$AE$5,Z$2)</f>
        <v>-0.33</v>
      </c>
      <c r="AA11" s="423"/>
      <c r="AB11" s="423"/>
      <c r="AC11" s="426"/>
      <c r="AD11" s="426"/>
      <c r="AE11" s="426"/>
      <c r="AF11" s="426"/>
      <c r="AG11" s="475" t="s">
        <v>1047</v>
      </c>
      <c r="AH11" s="475">
        <v>8</v>
      </c>
      <c r="AI11" s="426"/>
      <c r="AJ11" s="475" t="s">
        <v>83</v>
      </c>
      <c r="AK11" s="437"/>
      <c r="AL11" s="422"/>
      <c r="AM11" s="515" t="s">
        <v>1048</v>
      </c>
      <c r="AN11" s="516">
        <f>BD2</f>
        <v>62</v>
      </c>
      <c r="AO11" s="423"/>
      <c r="AP11" s="478" t="b">
        <v>1</v>
      </c>
      <c r="AQ11" s="509" t="str">
        <f t="shared" si="19"/>
        <v>3M</v>
      </c>
      <c r="AR11" s="465">
        <f t="shared" si="10"/>
        <v>3</v>
      </c>
      <c r="AS11" s="466" t="s">
        <v>70</v>
      </c>
      <c r="AT11" s="461">
        <f t="shared" si="20"/>
        <v>-0.358940651</v>
      </c>
      <c r="AU11" s="462"/>
      <c r="AV11" s="463"/>
      <c r="AW11" s="464">
        <f t="shared" si="11"/>
        <v>-0.358940651</v>
      </c>
      <c r="AX11" s="465">
        <f t="shared" si="17"/>
        <v>9</v>
      </c>
      <c r="AY11" s="466">
        <f t="shared" si="12"/>
        <v>9</v>
      </c>
      <c r="AZ11" s="465">
        <f t="shared" si="18"/>
        <v>9</v>
      </c>
      <c r="BA11" s="466">
        <f t="shared" si="13"/>
        <v>9</v>
      </c>
      <c r="BB11" s="465">
        <f t="shared" si="14"/>
        <v>3</v>
      </c>
      <c r="BC11" s="425" t="str">
        <f t="shared" si="15"/>
        <v>m</v>
      </c>
      <c r="BD11" s="464">
        <f t="shared" si="16"/>
        <v>-0.358940651</v>
      </c>
      <c r="BE11" s="423"/>
      <c r="BF11" s="480" t="str">
        <v>-</v>
      </c>
      <c r="BG11" s="470" t="str">
        <v>-</v>
      </c>
      <c r="BH11" s="426"/>
      <c r="BI11" s="510" t="s">
        <v>71</v>
      </c>
      <c r="BJ11" s="473">
        <f>_xll.RtGet($BN$7,$BN$8&amp;BI11&amp;$BN$9,$BJ$7)</f>
        <v>-0.36</v>
      </c>
      <c r="BK11" s="474">
        <f>_xll.RtGet($BN$7,$BN$8&amp;BI11&amp;$BN$9,$BK$7)</f>
        <v>-0.36</v>
      </c>
      <c r="BL11" s="426"/>
      <c r="BM11" s="426"/>
      <c r="BN11" s="426"/>
      <c r="BO11" s="421"/>
      <c r="BP11" s="644"/>
      <c r="BQ11" s="645"/>
      <c r="BR11" s="645"/>
      <c r="BS11" s="645"/>
      <c r="BT11" s="645"/>
      <c r="BU11" s="645"/>
      <c r="BV11" s="645"/>
      <c r="BW11" s="645"/>
      <c r="BX11" s="645"/>
      <c r="BY11" s="645"/>
      <c r="BZ11" s="645"/>
      <c r="CA11" s="645"/>
      <c r="CB11" s="645"/>
      <c r="CC11" s="645"/>
      <c r="CD11" s="645"/>
      <c r="CE11" s="645"/>
      <c r="CF11" s="645"/>
      <c r="CG11" s="645"/>
      <c r="CH11" s="645"/>
      <c r="CI11" s="645"/>
      <c r="CJ11" s="645"/>
      <c r="CK11" s="645"/>
      <c r="CL11" s="645"/>
      <c r="CM11" s="645"/>
      <c r="CN11" s="645"/>
      <c r="CO11" s="645"/>
      <c r="CP11" s="645"/>
      <c r="CQ11" s="645"/>
      <c r="CR11" s="645"/>
      <c r="CS11" s="645"/>
      <c r="CT11" s="645"/>
      <c r="CU11" s="645"/>
      <c r="CV11" s="645"/>
      <c r="CW11" s="645"/>
      <c r="CX11" s="645"/>
      <c r="CY11" s="645"/>
      <c r="CZ11" s="645"/>
      <c r="DA11" s="645"/>
      <c r="DB11" s="645"/>
      <c r="DC11" s="645"/>
      <c r="DD11" s="645"/>
      <c r="DE11" s="645"/>
      <c r="DF11" s="645"/>
      <c r="DG11" s="645"/>
      <c r="DH11" s="645"/>
      <c r="DI11" s="645"/>
      <c r="DJ11" s="645"/>
      <c r="DK11" s="645"/>
      <c r="DL11" s="645"/>
      <c r="DM11" s="645"/>
      <c r="DN11" s="645"/>
      <c r="DO11" s="645"/>
      <c r="DP11" s="645"/>
      <c r="DQ11" s="645"/>
      <c r="DR11" s="645"/>
      <c r="DS11" s="645"/>
      <c r="DT11" s="645"/>
      <c r="DU11" s="645"/>
      <c r="DV11" s="645"/>
      <c r="DW11" s="645"/>
      <c r="DX11" s="645"/>
      <c r="DY11" s="645"/>
      <c r="DZ11" s="645"/>
    </row>
    <row r="12" spans="1:130">
      <c r="A12" s="428"/>
      <c r="B12" s="426"/>
      <c r="C12" s="426"/>
      <c r="D12" s="423"/>
      <c r="E12" s="443" t="b">
        <v>1</v>
      </c>
      <c r="F12" s="506" t="str">
        <f t="shared" si="0"/>
        <v>4M</v>
      </c>
      <c r="G12" s="425">
        <v>4</v>
      </c>
      <c r="H12" s="425" t="s">
        <v>70</v>
      </c>
      <c r="I12" s="461">
        <f t="shared" si="1"/>
        <v>-0.31</v>
      </c>
      <c r="J12" s="462"/>
      <c r="K12" s="463"/>
      <c r="L12" s="464">
        <f t="shared" si="3"/>
        <v>-0.31</v>
      </c>
      <c r="M12" s="465">
        <f t="shared" si="4"/>
        <v>10</v>
      </c>
      <c r="N12" s="466">
        <f t="shared" si="2"/>
        <v>10</v>
      </c>
      <c r="O12" s="465">
        <f t="shared" si="5"/>
        <v>10</v>
      </c>
      <c r="P12" s="466">
        <f t="shared" si="6"/>
        <v>10</v>
      </c>
      <c r="Q12" s="465">
        <f t="shared" si="7"/>
        <v>4</v>
      </c>
      <c r="R12" s="425" t="str">
        <f t="shared" si="8"/>
        <v>m</v>
      </c>
      <c r="S12" s="464">
        <f t="shared" si="9"/>
        <v>-0.31</v>
      </c>
      <c r="T12" s="423"/>
      <c r="U12" s="469">
        <v>43241</v>
      </c>
      <c r="V12" s="470">
        <v>1.0006281470329323</v>
      </c>
      <c r="W12" s="426"/>
      <c r="X12" s="472" t="s">
        <v>1049</v>
      </c>
      <c r="Y12" s="473">
        <f>_xll.RtGet($AE$3,$AE$4&amp;$X12&amp;$AE$5,Y$2)</f>
        <v>-0.31</v>
      </c>
      <c r="Z12" s="474">
        <f>_xll.RtGet($AE$3,$AE$4&amp;$X12&amp;$AE$5,Z$2)</f>
        <v>-0.31</v>
      </c>
      <c r="AA12" s="423"/>
      <c r="AB12" s="423"/>
      <c r="AC12" s="426"/>
      <c r="AD12" s="426"/>
      <c r="AE12" s="426"/>
      <c r="AF12" s="426"/>
      <c r="AG12" s="493" t="s">
        <v>1050</v>
      </c>
      <c r="AH12" s="493">
        <v>9</v>
      </c>
      <c r="AI12" s="426"/>
      <c r="AJ12" s="493" t="s">
        <v>24</v>
      </c>
      <c r="AK12" s="437"/>
      <c r="AL12" s="422"/>
      <c r="AM12" s="426"/>
      <c r="AN12" s="426"/>
      <c r="AO12" s="423"/>
      <c r="AP12" s="478" t="b">
        <v>1</v>
      </c>
      <c r="AQ12" s="509" t="str">
        <f t="shared" si="19"/>
        <v>4M</v>
      </c>
      <c r="AR12" s="465">
        <f t="shared" si="10"/>
        <v>4</v>
      </c>
      <c r="AS12" s="466" t="s">
        <v>70</v>
      </c>
      <c r="AT12" s="461">
        <f t="shared" si="20"/>
        <v>-0.35835727100000003</v>
      </c>
      <c r="AU12" s="462"/>
      <c r="AV12" s="463"/>
      <c r="AW12" s="464">
        <f t="shared" si="11"/>
        <v>-0.35835727100000003</v>
      </c>
      <c r="AX12" s="465">
        <f t="shared" si="17"/>
        <v>10</v>
      </c>
      <c r="AY12" s="466">
        <f t="shared" si="12"/>
        <v>10</v>
      </c>
      <c r="AZ12" s="465">
        <f t="shared" si="18"/>
        <v>10</v>
      </c>
      <c r="BA12" s="466">
        <f t="shared" si="13"/>
        <v>10</v>
      </c>
      <c r="BB12" s="465">
        <f t="shared" si="14"/>
        <v>4</v>
      </c>
      <c r="BC12" s="425" t="str">
        <f t="shared" si="15"/>
        <v>m</v>
      </c>
      <c r="BD12" s="464">
        <f t="shared" si="16"/>
        <v>-0.35835727100000003</v>
      </c>
      <c r="BE12" s="423"/>
      <c r="BF12" s="480" t="str">
        <v>-</v>
      </c>
      <c r="BG12" s="470" t="str">
        <v>-</v>
      </c>
      <c r="BH12" s="426"/>
      <c r="BI12" s="510" t="s">
        <v>72</v>
      </c>
      <c r="BJ12" s="473">
        <f>_xll.RtGet($BN$7,$BN$8&amp;BI12&amp;$BN$9,$BJ$7)</f>
        <v>-0.36</v>
      </c>
      <c r="BK12" s="474">
        <f>_xll.RtGet($BN$7,$BN$8&amp;BI12&amp;$BN$9,$BK$7)</f>
        <v>-0.36</v>
      </c>
      <c r="BL12" s="426"/>
      <c r="BM12" s="426"/>
      <c r="BN12" s="426"/>
      <c r="BO12" s="421"/>
      <c r="BP12" s="644"/>
      <c r="BQ12" s="645"/>
      <c r="BR12" s="645"/>
      <c r="BS12" s="645"/>
      <c r="BT12" s="645"/>
      <c r="BU12" s="645"/>
      <c r="BV12" s="645"/>
      <c r="BW12" s="645"/>
      <c r="BX12" s="645"/>
      <c r="BY12" s="645"/>
      <c r="BZ12" s="645"/>
      <c r="CA12" s="645"/>
      <c r="CB12" s="645"/>
      <c r="CC12" s="645"/>
      <c r="CD12" s="645"/>
      <c r="CE12" s="645"/>
      <c r="CF12" s="645"/>
      <c r="CG12" s="645"/>
      <c r="CH12" s="645"/>
      <c r="CI12" s="645"/>
      <c r="CJ12" s="645"/>
      <c r="CK12" s="645"/>
      <c r="CL12" s="645"/>
      <c r="CM12" s="645"/>
      <c r="CN12" s="645"/>
      <c r="CO12" s="645"/>
      <c r="CP12" s="645"/>
      <c r="CQ12" s="645"/>
      <c r="CR12" s="645"/>
      <c r="CS12" s="645"/>
      <c r="CT12" s="645"/>
      <c r="CU12" s="645"/>
      <c r="CV12" s="645"/>
      <c r="CW12" s="645"/>
      <c r="CX12" s="645"/>
      <c r="CY12" s="645"/>
      <c r="CZ12" s="645"/>
      <c r="DA12" s="645"/>
      <c r="DB12" s="645"/>
      <c r="DC12" s="645"/>
      <c r="DD12" s="645"/>
      <c r="DE12" s="645"/>
      <c r="DF12" s="645"/>
      <c r="DG12" s="645"/>
      <c r="DH12" s="645"/>
      <c r="DI12" s="645"/>
      <c r="DJ12" s="645"/>
      <c r="DK12" s="645"/>
      <c r="DL12" s="645"/>
      <c r="DM12" s="645"/>
      <c r="DN12" s="645"/>
      <c r="DO12" s="645"/>
      <c r="DP12" s="645"/>
      <c r="DQ12" s="645"/>
      <c r="DR12" s="645"/>
      <c r="DS12" s="645"/>
      <c r="DT12" s="645"/>
      <c r="DU12" s="645"/>
      <c r="DV12" s="645"/>
      <c r="DW12" s="645"/>
      <c r="DX12" s="645"/>
      <c r="DY12" s="645"/>
      <c r="DZ12" s="645"/>
    </row>
    <row r="13" spans="1:130">
      <c r="A13" s="428"/>
      <c r="B13" s="672"/>
      <c r="C13" s="426"/>
      <c r="D13" s="423"/>
      <c r="E13" s="443" t="b">
        <v>1</v>
      </c>
      <c r="F13" s="506" t="str">
        <f t="shared" si="0"/>
        <v>5M</v>
      </c>
      <c r="G13" s="425">
        <v>5</v>
      </c>
      <c r="H13" s="425" t="s">
        <v>70</v>
      </c>
      <c r="I13" s="461">
        <f t="shared" si="1"/>
        <v>-0.28999999999999998</v>
      </c>
      <c r="J13" s="462"/>
      <c r="K13" s="463"/>
      <c r="L13" s="464">
        <f t="shared" si="3"/>
        <v>-0.28999999999999998</v>
      </c>
      <c r="M13" s="465">
        <f t="shared" si="4"/>
        <v>11</v>
      </c>
      <c r="N13" s="466">
        <f t="shared" si="2"/>
        <v>11</v>
      </c>
      <c r="O13" s="465">
        <f t="shared" si="5"/>
        <v>11</v>
      </c>
      <c r="P13" s="466">
        <f t="shared" si="6"/>
        <v>11</v>
      </c>
      <c r="Q13" s="465">
        <f t="shared" si="7"/>
        <v>5</v>
      </c>
      <c r="R13" s="425" t="str">
        <f t="shared" si="8"/>
        <v>m</v>
      </c>
      <c r="S13" s="464">
        <f t="shared" si="9"/>
        <v>-0.28999999999999998</v>
      </c>
      <c r="T13" s="423"/>
      <c r="U13" s="469">
        <v>43271</v>
      </c>
      <c r="V13" s="470">
        <v>1.0008863044458081</v>
      </c>
      <c r="W13" s="426"/>
      <c r="X13" s="472" t="s">
        <v>1051</v>
      </c>
      <c r="Y13" s="473">
        <f>_xll.RtGet($AE$3,$AE$4&amp;$X13&amp;$AE$5,Y$2)</f>
        <v>-0.28999999999999998</v>
      </c>
      <c r="Z13" s="474">
        <f>_xll.RtGet($AE$3,$AE$4&amp;$X13&amp;$AE$5,Z$2)</f>
        <v>-0.28999999999999998</v>
      </c>
      <c r="AA13" s="423"/>
      <c r="AB13" s="423"/>
      <c r="AC13" s="426"/>
      <c r="AD13" s="426"/>
      <c r="AE13" s="426"/>
      <c r="AF13" s="426"/>
      <c r="AG13" s="426"/>
      <c r="AH13" s="426"/>
      <c r="AI13" s="426"/>
      <c r="AJ13" s="426"/>
      <c r="AK13" s="437"/>
      <c r="AL13" s="422"/>
      <c r="AM13" s="519" t="s">
        <v>1052</v>
      </c>
      <c r="AN13" s="519">
        <f>VLOOKUP(AN7,AG3:AH12,2)</f>
        <v>5</v>
      </c>
      <c r="AO13" s="423"/>
      <c r="AP13" s="478" t="b">
        <v>1</v>
      </c>
      <c r="AQ13" s="509" t="str">
        <f t="shared" si="19"/>
        <v>5M</v>
      </c>
      <c r="AR13" s="465">
        <f t="shared" si="10"/>
        <v>5</v>
      </c>
      <c r="AS13" s="466" t="s">
        <v>70</v>
      </c>
      <c r="AT13" s="461">
        <f t="shared" si="20"/>
        <v>-0.35797874500000004</v>
      </c>
      <c r="AU13" s="462"/>
      <c r="AV13" s="463"/>
      <c r="AW13" s="464">
        <f t="shared" si="11"/>
        <v>-0.35797874500000004</v>
      </c>
      <c r="AX13" s="465">
        <f t="shared" si="17"/>
        <v>11</v>
      </c>
      <c r="AY13" s="466">
        <f t="shared" si="12"/>
        <v>11</v>
      </c>
      <c r="AZ13" s="465">
        <f t="shared" si="18"/>
        <v>11</v>
      </c>
      <c r="BA13" s="466">
        <f t="shared" si="13"/>
        <v>11</v>
      </c>
      <c r="BB13" s="465">
        <f t="shared" si="14"/>
        <v>5</v>
      </c>
      <c r="BC13" s="425" t="str">
        <f t="shared" si="15"/>
        <v>m</v>
      </c>
      <c r="BD13" s="464">
        <f t="shared" si="16"/>
        <v>-0.35797874500000004</v>
      </c>
      <c r="BE13" s="423"/>
      <c r="BF13" s="480" t="str">
        <v>-</v>
      </c>
      <c r="BG13" s="470" t="str">
        <v>-</v>
      </c>
      <c r="BH13" s="426"/>
      <c r="BI13" s="510" t="s">
        <v>74</v>
      </c>
      <c r="BJ13" s="473">
        <f>_xll.RtGet($BN$7,$BN$8&amp;BI13&amp;$BN$9,$BJ$7)</f>
        <v>-0.358940651</v>
      </c>
      <c r="BK13" s="474">
        <f>_xll.RtGet($BN$7,$BN$8&amp;BI13&amp;$BN$9,$BK$7)</f>
        <v>-0.358940651</v>
      </c>
      <c r="BL13" s="426"/>
      <c r="BM13" s="426"/>
      <c r="BN13" s="426"/>
      <c r="BO13" s="421"/>
      <c r="BP13" s="644"/>
      <c r="BQ13" s="645"/>
      <c r="BR13" s="645"/>
      <c r="BS13" s="645"/>
      <c r="BT13" s="645"/>
      <c r="BU13" s="645"/>
      <c r="BV13" s="645"/>
      <c r="BW13" s="645"/>
      <c r="BX13" s="645"/>
      <c r="BY13" s="645"/>
      <c r="BZ13" s="645"/>
      <c r="CA13" s="645"/>
      <c r="CB13" s="645"/>
      <c r="CC13" s="645"/>
      <c r="CD13" s="645"/>
      <c r="CE13" s="645"/>
      <c r="CF13" s="645"/>
      <c r="CG13" s="645"/>
      <c r="CH13" s="645"/>
      <c r="CI13" s="645"/>
      <c r="CJ13" s="645"/>
      <c r="CK13" s="645"/>
      <c r="CL13" s="645"/>
      <c r="CM13" s="645"/>
      <c r="CN13" s="645"/>
      <c r="CO13" s="645"/>
      <c r="CP13" s="645"/>
      <c r="CQ13" s="645"/>
      <c r="CR13" s="645"/>
      <c r="CS13" s="645"/>
      <c r="CT13" s="645"/>
      <c r="CU13" s="645"/>
      <c r="CV13" s="645"/>
      <c r="CW13" s="645"/>
      <c r="CX13" s="645"/>
      <c r="CY13" s="645"/>
      <c r="CZ13" s="645"/>
      <c r="DA13" s="645"/>
      <c r="DB13" s="645"/>
      <c r="DC13" s="645"/>
      <c r="DD13" s="645"/>
      <c r="DE13" s="645"/>
      <c r="DF13" s="645"/>
      <c r="DG13" s="645"/>
      <c r="DH13" s="645"/>
      <c r="DI13" s="645"/>
      <c r="DJ13" s="645"/>
      <c r="DK13" s="645"/>
      <c r="DL13" s="645"/>
      <c r="DM13" s="645"/>
      <c r="DN13" s="645"/>
      <c r="DO13" s="645"/>
      <c r="DP13" s="645"/>
      <c r="DQ13" s="645"/>
      <c r="DR13" s="645"/>
      <c r="DS13" s="645"/>
      <c r="DT13" s="645"/>
      <c r="DU13" s="645"/>
      <c r="DV13" s="645"/>
      <c r="DW13" s="645"/>
      <c r="DX13" s="645"/>
      <c r="DY13" s="645"/>
      <c r="DZ13" s="645"/>
    </row>
    <row r="14" spans="1:130">
      <c r="A14" s="428"/>
      <c r="B14" s="426"/>
      <c r="C14" s="426"/>
      <c r="D14" s="426"/>
      <c r="E14" s="443" t="b">
        <v>1</v>
      </c>
      <c r="F14" s="506" t="str">
        <f t="shared" si="0"/>
        <v>6M</v>
      </c>
      <c r="G14" s="425">
        <v>6</v>
      </c>
      <c r="H14" s="425" t="s">
        <v>70</v>
      </c>
      <c r="I14" s="461">
        <f t="shared" si="1"/>
        <v>-0.27</v>
      </c>
      <c r="J14" s="462"/>
      <c r="K14" s="463"/>
      <c r="L14" s="464">
        <f t="shared" si="3"/>
        <v>-0.27</v>
      </c>
      <c r="M14" s="465">
        <f t="shared" si="4"/>
        <v>12</v>
      </c>
      <c r="N14" s="466">
        <f t="shared" si="2"/>
        <v>12</v>
      </c>
      <c r="O14" s="465">
        <f t="shared" si="5"/>
        <v>12</v>
      </c>
      <c r="P14" s="466">
        <f t="shared" si="6"/>
        <v>12</v>
      </c>
      <c r="Q14" s="465">
        <f t="shared" si="7"/>
        <v>6</v>
      </c>
      <c r="R14" s="425" t="str">
        <f t="shared" si="8"/>
        <v>m</v>
      </c>
      <c r="S14" s="464">
        <f t="shared" si="9"/>
        <v>-0.27</v>
      </c>
      <c r="T14" s="423"/>
      <c r="U14" s="469">
        <v>43301</v>
      </c>
      <c r="V14" s="470">
        <v>1.0010939284505587</v>
      </c>
      <c r="W14" s="426"/>
      <c r="X14" s="472" t="s">
        <v>75</v>
      </c>
      <c r="Y14" s="473">
        <f>_xll.RtGet($AE$3,$AE$4&amp;$X14&amp;$AE$5,Y$2)</f>
        <v>-0.27</v>
      </c>
      <c r="Z14" s="474">
        <f>_xll.RtGet($AE$3,$AE$4&amp;$X14&amp;$AE$5,Z$2)</f>
        <v>-0.27</v>
      </c>
      <c r="AA14" s="423"/>
      <c r="AB14" s="423"/>
      <c r="AC14" s="426"/>
      <c r="AD14" s="426"/>
      <c r="AE14" s="426"/>
      <c r="AF14" s="426"/>
      <c r="AG14" s="434" t="s">
        <v>1053</v>
      </c>
      <c r="AH14" s="435"/>
      <c r="AI14" s="426"/>
      <c r="AJ14" s="436" t="s">
        <v>1054</v>
      </c>
      <c r="AK14" s="437"/>
      <c r="AL14" s="422"/>
      <c r="AM14" s="426"/>
      <c r="AN14" s="426"/>
      <c r="AO14" s="426"/>
      <c r="AP14" s="478" t="b">
        <v>1</v>
      </c>
      <c r="AQ14" s="509" t="str">
        <f t="shared" si="19"/>
        <v>6M</v>
      </c>
      <c r="AR14" s="465">
        <f t="shared" si="10"/>
        <v>6</v>
      </c>
      <c r="AS14" s="466" t="s">
        <v>70</v>
      </c>
      <c r="AT14" s="461">
        <f t="shared" si="20"/>
        <v>-0.35748981400000002</v>
      </c>
      <c r="AU14" s="462"/>
      <c r="AV14" s="463"/>
      <c r="AW14" s="464">
        <f t="shared" si="11"/>
        <v>-0.35748981400000002</v>
      </c>
      <c r="AX14" s="465">
        <f t="shared" si="17"/>
        <v>12</v>
      </c>
      <c r="AY14" s="466">
        <f t="shared" si="12"/>
        <v>12</v>
      </c>
      <c r="AZ14" s="465">
        <f t="shared" si="18"/>
        <v>12</v>
      </c>
      <c r="BA14" s="466">
        <f t="shared" si="13"/>
        <v>12</v>
      </c>
      <c r="BB14" s="465">
        <f t="shared" si="14"/>
        <v>6</v>
      </c>
      <c r="BC14" s="425" t="str">
        <f t="shared" si="15"/>
        <v>m</v>
      </c>
      <c r="BD14" s="464">
        <f t="shared" si="16"/>
        <v>-0.35748981400000002</v>
      </c>
      <c r="BE14" s="423"/>
      <c r="BF14" s="480" t="str">
        <v>-</v>
      </c>
      <c r="BG14" s="470" t="str">
        <v>-</v>
      </c>
      <c r="BH14" s="426"/>
      <c r="BI14" s="510" t="s">
        <v>1049</v>
      </c>
      <c r="BJ14" s="473">
        <f>_xll.RtGet($BN$7,$BN$8&amp;BI14&amp;$BN$9,$BJ$7)</f>
        <v>-0.35835727100000003</v>
      </c>
      <c r="BK14" s="474">
        <f>_xll.RtGet($BN$7,$BN$8&amp;BI14&amp;$BN$9,$BK$7)</f>
        <v>-0.35835727100000003</v>
      </c>
      <c r="BL14" s="426"/>
      <c r="BM14" s="426"/>
      <c r="BN14" s="426"/>
      <c r="BO14" s="421"/>
      <c r="BP14" s="644"/>
      <c r="BQ14" s="645"/>
      <c r="BR14" s="645"/>
      <c r="BS14" s="645"/>
      <c r="BT14" s="645"/>
      <c r="BU14" s="645"/>
      <c r="BV14" s="645"/>
      <c r="BW14" s="645"/>
      <c r="BX14" s="645"/>
      <c r="BY14" s="645"/>
      <c r="BZ14" s="645"/>
      <c r="CA14" s="645"/>
      <c r="CB14" s="645"/>
      <c r="CC14" s="645"/>
      <c r="CD14" s="645"/>
      <c r="CE14" s="645"/>
      <c r="CF14" s="645"/>
      <c r="CG14" s="645"/>
      <c r="CH14" s="645"/>
      <c r="CI14" s="645"/>
      <c r="CJ14" s="645"/>
      <c r="CK14" s="645"/>
      <c r="CL14" s="645"/>
      <c r="CM14" s="645"/>
      <c r="CN14" s="645"/>
      <c r="CO14" s="645"/>
      <c r="CP14" s="645"/>
      <c r="CQ14" s="645"/>
      <c r="CR14" s="645"/>
      <c r="CS14" s="645"/>
      <c r="CT14" s="645"/>
      <c r="CU14" s="645"/>
      <c r="CV14" s="645"/>
      <c r="CW14" s="645"/>
      <c r="CX14" s="645"/>
      <c r="CY14" s="645"/>
      <c r="CZ14" s="645"/>
      <c r="DA14" s="645"/>
      <c r="DB14" s="645"/>
      <c r="DC14" s="645"/>
      <c r="DD14" s="645"/>
      <c r="DE14" s="645"/>
      <c r="DF14" s="645"/>
      <c r="DG14" s="645"/>
      <c r="DH14" s="645"/>
      <c r="DI14" s="645"/>
      <c r="DJ14" s="645"/>
      <c r="DK14" s="645"/>
      <c r="DL14" s="645"/>
      <c r="DM14" s="645"/>
      <c r="DN14" s="645"/>
      <c r="DO14" s="645"/>
      <c r="DP14" s="645"/>
      <c r="DQ14" s="645"/>
      <c r="DR14" s="645"/>
      <c r="DS14" s="645"/>
      <c r="DT14" s="645"/>
      <c r="DU14" s="645"/>
      <c r="DV14" s="645"/>
      <c r="DW14" s="645"/>
      <c r="DX14" s="645"/>
      <c r="DY14" s="645"/>
      <c r="DZ14" s="645"/>
    </row>
    <row r="15" spans="1:130">
      <c r="A15" s="428"/>
      <c r="B15" s="426"/>
      <c r="C15" s="426"/>
      <c r="D15" s="426"/>
      <c r="E15" s="443" t="b">
        <v>1</v>
      </c>
      <c r="F15" s="506" t="str">
        <f t="shared" si="0"/>
        <v>7M</v>
      </c>
      <c r="G15" s="425">
        <v>7</v>
      </c>
      <c r="H15" s="425" t="s">
        <v>70</v>
      </c>
      <c r="I15" s="461">
        <f t="shared" si="1"/>
        <v>-0.25</v>
      </c>
      <c r="J15" s="462"/>
      <c r="K15" s="463"/>
      <c r="L15" s="464">
        <f t="shared" si="3"/>
        <v>-0.25</v>
      </c>
      <c r="M15" s="465">
        <f t="shared" si="4"/>
        <v>13</v>
      </c>
      <c r="N15" s="466">
        <f t="shared" si="2"/>
        <v>13</v>
      </c>
      <c r="O15" s="465">
        <f t="shared" si="5"/>
        <v>13</v>
      </c>
      <c r="P15" s="466">
        <f t="shared" si="6"/>
        <v>13</v>
      </c>
      <c r="Q15" s="465">
        <f t="shared" si="7"/>
        <v>7</v>
      </c>
      <c r="R15" s="425" t="str">
        <f t="shared" si="8"/>
        <v>m</v>
      </c>
      <c r="S15" s="464">
        <f t="shared" si="9"/>
        <v>-0.25</v>
      </c>
      <c r="T15" s="423"/>
      <c r="U15" s="469">
        <v>43332</v>
      </c>
      <c r="V15" s="470">
        <v>1.0012762966980724</v>
      </c>
      <c r="W15" s="426"/>
      <c r="X15" s="472" t="s">
        <v>1055</v>
      </c>
      <c r="Y15" s="473">
        <f>_xll.RtGet($AE$3,$AE$4&amp;$X15&amp;$AE$5,Y$2)</f>
        <v>-0.25</v>
      </c>
      <c r="Z15" s="474">
        <f>_xll.RtGet($AE$3,$AE$4&amp;$X15&amp;$AE$5,Z$2)</f>
        <v>-0.25</v>
      </c>
      <c r="AA15" s="423"/>
      <c r="AB15" s="423"/>
      <c r="AC15" s="426"/>
      <c r="AD15" s="426"/>
      <c r="AE15" s="426"/>
      <c r="AF15" s="426"/>
      <c r="AG15" s="456" t="s">
        <v>1056</v>
      </c>
      <c r="AH15" s="456">
        <v>0</v>
      </c>
      <c r="AI15" s="426"/>
      <c r="AJ15" s="456" t="s">
        <v>76</v>
      </c>
      <c r="AK15" s="437"/>
      <c r="AL15" s="422"/>
      <c r="AM15" s="426"/>
      <c r="AN15" s="426"/>
      <c r="AO15" s="426"/>
      <c r="AP15" s="478" t="b">
        <v>1</v>
      </c>
      <c r="AQ15" s="509" t="str">
        <f t="shared" si="19"/>
        <v>7M</v>
      </c>
      <c r="AR15" s="465">
        <f t="shared" si="10"/>
        <v>7</v>
      </c>
      <c r="AS15" s="466" t="s">
        <v>70</v>
      </c>
      <c r="AT15" s="461">
        <f t="shared" si="20"/>
        <v>-0.35702731200000004</v>
      </c>
      <c r="AU15" s="462"/>
      <c r="AV15" s="463"/>
      <c r="AW15" s="464">
        <f t="shared" si="11"/>
        <v>-0.35702731200000004</v>
      </c>
      <c r="AX15" s="465">
        <f t="shared" si="17"/>
        <v>13</v>
      </c>
      <c r="AY15" s="466">
        <f t="shared" si="12"/>
        <v>13</v>
      </c>
      <c r="AZ15" s="465">
        <f t="shared" si="18"/>
        <v>13</v>
      </c>
      <c r="BA15" s="466">
        <f t="shared" si="13"/>
        <v>13</v>
      </c>
      <c r="BB15" s="465">
        <f t="shared" si="14"/>
        <v>7</v>
      </c>
      <c r="BC15" s="425" t="str">
        <f t="shared" si="15"/>
        <v>m</v>
      </c>
      <c r="BD15" s="464">
        <f t="shared" si="16"/>
        <v>-0.35702731200000004</v>
      </c>
      <c r="BE15" s="423"/>
      <c r="BF15" s="480" t="str">
        <v>-</v>
      </c>
      <c r="BG15" s="470" t="str">
        <v>-</v>
      </c>
      <c r="BH15" s="426"/>
      <c r="BI15" s="510" t="s">
        <v>1051</v>
      </c>
      <c r="BJ15" s="473">
        <f>_xll.RtGet($BN$7,$BN$8&amp;BI15&amp;$BN$9,$BJ$7)</f>
        <v>-0.35797874500000004</v>
      </c>
      <c r="BK15" s="474">
        <f>_xll.RtGet($BN$7,$BN$8&amp;BI15&amp;$BN$9,$BK$7)</f>
        <v>-0.35797874500000004</v>
      </c>
      <c r="BL15" s="426"/>
      <c r="BM15" s="426"/>
      <c r="BN15" s="426"/>
      <c r="BO15" s="421"/>
      <c r="BP15" s="644"/>
      <c r="BQ15" s="645"/>
      <c r="BR15" s="645"/>
      <c r="BS15" s="645"/>
      <c r="BT15" s="645"/>
      <c r="BU15" s="645"/>
      <c r="BV15" s="645"/>
      <c r="BW15" s="645"/>
      <c r="BX15" s="645"/>
      <c r="BY15" s="645"/>
      <c r="BZ15" s="645"/>
      <c r="CA15" s="645"/>
      <c r="CB15" s="645"/>
      <c r="CC15" s="645"/>
      <c r="CD15" s="645"/>
      <c r="CE15" s="645"/>
      <c r="CF15" s="645"/>
      <c r="CG15" s="645"/>
      <c r="CH15" s="645"/>
      <c r="CI15" s="645"/>
      <c r="CJ15" s="645"/>
      <c r="CK15" s="645"/>
      <c r="CL15" s="645"/>
      <c r="CM15" s="645"/>
      <c r="CN15" s="645"/>
      <c r="CO15" s="645"/>
      <c r="CP15" s="645"/>
      <c r="CQ15" s="645"/>
      <c r="CR15" s="645"/>
      <c r="CS15" s="645"/>
      <c r="CT15" s="645"/>
      <c r="CU15" s="645"/>
      <c r="CV15" s="645"/>
      <c r="CW15" s="645"/>
      <c r="CX15" s="645"/>
      <c r="CY15" s="645"/>
      <c r="CZ15" s="645"/>
      <c r="DA15" s="645"/>
      <c r="DB15" s="645"/>
      <c r="DC15" s="645"/>
      <c r="DD15" s="645"/>
      <c r="DE15" s="645"/>
      <c r="DF15" s="645"/>
      <c r="DG15" s="645"/>
      <c r="DH15" s="645"/>
      <c r="DI15" s="645"/>
      <c r="DJ15" s="645"/>
      <c r="DK15" s="645"/>
      <c r="DL15" s="645"/>
      <c r="DM15" s="645"/>
      <c r="DN15" s="645"/>
      <c r="DO15" s="645"/>
      <c r="DP15" s="645"/>
      <c r="DQ15" s="645"/>
      <c r="DR15" s="645"/>
      <c r="DS15" s="645"/>
      <c r="DT15" s="645"/>
      <c r="DU15" s="645"/>
      <c r="DV15" s="645"/>
      <c r="DW15" s="645"/>
      <c r="DX15" s="645"/>
      <c r="DY15" s="645"/>
      <c r="DZ15" s="645"/>
    </row>
    <row r="16" spans="1:130">
      <c r="A16" s="428"/>
      <c r="B16" s="426"/>
      <c r="C16" s="426"/>
      <c r="D16" s="426"/>
      <c r="E16" s="443" t="b">
        <v>1</v>
      </c>
      <c r="F16" s="506" t="str">
        <f t="shared" si="0"/>
        <v>8M</v>
      </c>
      <c r="G16" s="425">
        <v>8</v>
      </c>
      <c r="H16" s="425" t="s">
        <v>70</v>
      </c>
      <c r="I16" s="461">
        <f t="shared" si="1"/>
        <v>-0.23</v>
      </c>
      <c r="J16" s="462"/>
      <c r="K16" s="463"/>
      <c r="L16" s="464">
        <f t="shared" si="3"/>
        <v>-0.23</v>
      </c>
      <c r="M16" s="465">
        <f t="shared" si="4"/>
        <v>14</v>
      </c>
      <c r="N16" s="466">
        <f t="shared" si="2"/>
        <v>14</v>
      </c>
      <c r="O16" s="465">
        <f t="shared" si="5"/>
        <v>14</v>
      </c>
      <c r="P16" s="466">
        <f t="shared" si="6"/>
        <v>14</v>
      </c>
      <c r="Q16" s="465">
        <f t="shared" si="7"/>
        <v>8</v>
      </c>
      <c r="R16" s="425" t="str">
        <f t="shared" si="8"/>
        <v>m</v>
      </c>
      <c r="S16" s="464">
        <f t="shared" si="9"/>
        <v>-0.23</v>
      </c>
      <c r="T16" s="423"/>
      <c r="U16" s="469">
        <v>43363</v>
      </c>
      <c r="V16" s="470">
        <v>1.0014241890432718</v>
      </c>
      <c r="W16" s="426"/>
      <c r="X16" s="472" t="s">
        <v>1057</v>
      </c>
      <c r="Y16" s="473">
        <f>_xll.RtGet($AE$3,$AE$4&amp;$X16&amp;$AE$5,Y$2)</f>
        <v>-0.23</v>
      </c>
      <c r="Z16" s="474">
        <f>_xll.RtGet($AE$3,$AE$4&amp;$X16&amp;$AE$5,Z$2)</f>
        <v>-0.23</v>
      </c>
      <c r="AA16" s="423"/>
      <c r="AB16" s="423"/>
      <c r="AC16" s="426"/>
      <c r="AD16" s="426"/>
      <c r="AE16" s="426"/>
      <c r="AF16" s="426"/>
      <c r="AG16" s="475" t="s">
        <v>1058</v>
      </c>
      <c r="AH16" s="475">
        <v>1</v>
      </c>
      <c r="AI16" s="426"/>
      <c r="AJ16" s="475" t="s">
        <v>1059</v>
      </c>
      <c r="AK16" s="524"/>
      <c r="AL16" s="422"/>
      <c r="AM16" s="426"/>
      <c r="AN16" s="426"/>
      <c r="AO16" s="426"/>
      <c r="AP16" s="478" t="b">
        <v>1</v>
      </c>
      <c r="AQ16" s="509" t="str">
        <f t="shared" si="19"/>
        <v>8M</v>
      </c>
      <c r="AR16" s="465">
        <f t="shared" si="10"/>
        <v>8</v>
      </c>
      <c r="AS16" s="466" t="s">
        <v>70</v>
      </c>
      <c r="AT16" s="461">
        <f t="shared" si="20"/>
        <v>-0.35669616900000001</v>
      </c>
      <c r="AU16" s="462"/>
      <c r="AV16" s="463"/>
      <c r="AW16" s="464">
        <f t="shared" si="11"/>
        <v>-0.35669616900000001</v>
      </c>
      <c r="AX16" s="465">
        <f t="shared" si="17"/>
        <v>14</v>
      </c>
      <c r="AY16" s="466">
        <f t="shared" si="12"/>
        <v>14</v>
      </c>
      <c r="AZ16" s="465">
        <f t="shared" si="18"/>
        <v>14</v>
      </c>
      <c r="BA16" s="466">
        <f t="shared" si="13"/>
        <v>14</v>
      </c>
      <c r="BB16" s="465">
        <f t="shared" si="14"/>
        <v>8</v>
      </c>
      <c r="BC16" s="425" t="str">
        <f t="shared" si="15"/>
        <v>m</v>
      </c>
      <c r="BD16" s="464">
        <f t="shared" si="16"/>
        <v>-0.35669616900000001</v>
      </c>
      <c r="BE16" s="423"/>
      <c r="BF16" s="480" t="str">
        <v>-</v>
      </c>
      <c r="BG16" s="470" t="str">
        <v>-</v>
      </c>
      <c r="BH16" s="426"/>
      <c r="BI16" s="510" t="s">
        <v>75</v>
      </c>
      <c r="BJ16" s="473">
        <f>_xll.RtGet($BN$7,$BN$8&amp;BI16&amp;$BN$9,$BJ$7)</f>
        <v>-0.35748981400000002</v>
      </c>
      <c r="BK16" s="474">
        <f>_xll.RtGet($BN$7,$BN$8&amp;BI16&amp;$BN$9,$BK$7)</f>
        <v>-0.35748981400000002</v>
      </c>
      <c r="BL16" s="426"/>
      <c r="BM16" s="426"/>
      <c r="BN16" s="426"/>
      <c r="BO16" s="421"/>
      <c r="BP16" s="644"/>
      <c r="BQ16" s="645"/>
      <c r="BR16" s="645"/>
      <c r="BS16" s="645"/>
      <c r="BT16" s="645"/>
      <c r="BU16" s="645"/>
      <c r="BV16" s="645"/>
      <c r="BW16" s="645"/>
      <c r="BX16" s="645"/>
      <c r="BY16" s="645"/>
      <c r="BZ16" s="645"/>
      <c r="CA16" s="645"/>
      <c r="CB16" s="645"/>
      <c r="CC16" s="645"/>
      <c r="CD16" s="645"/>
      <c r="CE16" s="645"/>
      <c r="CF16" s="645"/>
      <c r="CG16" s="645"/>
      <c r="CH16" s="645"/>
      <c r="CI16" s="645"/>
      <c r="CJ16" s="645"/>
      <c r="CK16" s="645"/>
      <c r="CL16" s="645"/>
      <c r="CM16" s="645"/>
      <c r="CN16" s="645"/>
      <c r="CO16" s="645"/>
      <c r="CP16" s="645"/>
      <c r="CQ16" s="645"/>
      <c r="CR16" s="645"/>
      <c r="CS16" s="645"/>
      <c r="CT16" s="645"/>
      <c r="CU16" s="645"/>
      <c r="CV16" s="645"/>
      <c r="CW16" s="645"/>
      <c r="CX16" s="645"/>
      <c r="CY16" s="645"/>
      <c r="CZ16" s="645"/>
      <c r="DA16" s="645"/>
      <c r="DB16" s="645"/>
      <c r="DC16" s="645"/>
      <c r="DD16" s="645"/>
      <c r="DE16" s="645"/>
      <c r="DF16" s="645"/>
      <c r="DG16" s="645"/>
      <c r="DH16" s="645"/>
      <c r="DI16" s="645"/>
      <c r="DJ16" s="645"/>
      <c r="DK16" s="645"/>
      <c r="DL16" s="645"/>
      <c r="DM16" s="645"/>
      <c r="DN16" s="645"/>
      <c r="DO16" s="645"/>
      <c r="DP16" s="645"/>
      <c r="DQ16" s="645"/>
      <c r="DR16" s="645"/>
      <c r="DS16" s="645"/>
      <c r="DT16" s="645"/>
      <c r="DU16" s="645"/>
      <c r="DV16" s="645"/>
      <c r="DW16" s="645"/>
      <c r="DX16" s="645"/>
      <c r="DY16" s="645"/>
      <c r="DZ16" s="645"/>
    </row>
    <row r="17" spans="1:130">
      <c r="A17" s="428"/>
      <c r="B17" s="426"/>
      <c r="C17" s="426"/>
      <c r="D17" s="426"/>
      <c r="E17" s="443" t="b">
        <v>1</v>
      </c>
      <c r="F17" s="506" t="str">
        <f t="shared" si="0"/>
        <v>9M</v>
      </c>
      <c r="G17" s="425">
        <v>9</v>
      </c>
      <c r="H17" s="425" t="s">
        <v>70</v>
      </c>
      <c r="I17" s="461">
        <f t="shared" si="1"/>
        <v>-0.22</v>
      </c>
      <c r="J17" s="462"/>
      <c r="K17" s="463"/>
      <c r="L17" s="464">
        <f t="shared" si="3"/>
        <v>-0.22</v>
      </c>
      <c r="M17" s="465">
        <f t="shared" si="4"/>
        <v>15</v>
      </c>
      <c r="N17" s="466">
        <f t="shared" si="2"/>
        <v>15</v>
      </c>
      <c r="O17" s="465">
        <f t="shared" si="5"/>
        <v>15</v>
      </c>
      <c r="P17" s="466">
        <f t="shared" si="6"/>
        <v>15</v>
      </c>
      <c r="Q17" s="465">
        <f t="shared" si="7"/>
        <v>9</v>
      </c>
      <c r="R17" s="425" t="str">
        <f t="shared" si="8"/>
        <v>m</v>
      </c>
      <c r="S17" s="464">
        <f t="shared" si="9"/>
        <v>-0.22</v>
      </c>
      <c r="T17" s="423"/>
      <c r="U17" s="469">
        <v>43395</v>
      </c>
      <c r="V17" s="470">
        <v>1.0015445404731018</v>
      </c>
      <c r="W17" s="426"/>
      <c r="X17" s="472" t="s">
        <v>77</v>
      </c>
      <c r="Y17" s="473">
        <f>_xll.RtGet($AE$3,$AE$4&amp;$X17&amp;$AE$5,Y$2)</f>
        <v>-0.22</v>
      </c>
      <c r="Z17" s="474">
        <f>_xll.RtGet($AE$3,$AE$4&amp;$X17&amp;$AE$5,Z$2)</f>
        <v>-0.22</v>
      </c>
      <c r="AA17" s="423"/>
      <c r="AB17" s="423"/>
      <c r="AC17" s="426"/>
      <c r="AD17" s="426"/>
      <c r="AE17" s="426"/>
      <c r="AF17" s="426"/>
      <c r="AG17" s="475" t="s">
        <v>1060</v>
      </c>
      <c r="AH17" s="475">
        <v>2</v>
      </c>
      <c r="AI17" s="426"/>
      <c r="AJ17" s="493" t="s">
        <v>1061</v>
      </c>
      <c r="AK17" s="524"/>
      <c r="AL17" s="422"/>
      <c r="AM17" s="426"/>
      <c r="AN17" s="426"/>
      <c r="AO17" s="426"/>
      <c r="AP17" s="478" t="b">
        <v>1</v>
      </c>
      <c r="AQ17" s="509" t="str">
        <f t="shared" si="19"/>
        <v>9M</v>
      </c>
      <c r="AR17" s="465">
        <f t="shared" si="10"/>
        <v>9</v>
      </c>
      <c r="AS17" s="466" t="s">
        <v>70</v>
      </c>
      <c r="AT17" s="461">
        <f t="shared" si="20"/>
        <v>-0.35623333600000001</v>
      </c>
      <c r="AU17" s="462"/>
      <c r="AV17" s="463"/>
      <c r="AW17" s="464">
        <f t="shared" si="11"/>
        <v>-0.35623333600000001</v>
      </c>
      <c r="AX17" s="465">
        <f t="shared" si="17"/>
        <v>15</v>
      </c>
      <c r="AY17" s="466">
        <f t="shared" si="12"/>
        <v>15</v>
      </c>
      <c r="AZ17" s="465">
        <f t="shared" si="18"/>
        <v>15</v>
      </c>
      <c r="BA17" s="466">
        <f t="shared" si="13"/>
        <v>15</v>
      </c>
      <c r="BB17" s="465">
        <f t="shared" si="14"/>
        <v>9</v>
      </c>
      <c r="BC17" s="425" t="str">
        <f t="shared" si="15"/>
        <v>m</v>
      </c>
      <c r="BD17" s="464">
        <f t="shared" si="16"/>
        <v>-0.35623333600000001</v>
      </c>
      <c r="BE17" s="423"/>
      <c r="BF17" s="480" t="str">
        <v>-</v>
      </c>
      <c r="BG17" s="470" t="str">
        <v>-</v>
      </c>
      <c r="BH17" s="426"/>
      <c r="BI17" s="510" t="s">
        <v>1055</v>
      </c>
      <c r="BJ17" s="473">
        <f>_xll.RtGet($BN$7,$BN$8&amp;BI17&amp;$BN$9,$BJ$7)</f>
        <v>-0.35702731200000004</v>
      </c>
      <c r="BK17" s="474">
        <f>_xll.RtGet($BN$7,$BN$8&amp;BI17&amp;$BN$9,$BK$7)</f>
        <v>-0.35702731200000004</v>
      </c>
      <c r="BL17" s="426"/>
      <c r="BM17" s="426"/>
      <c r="BN17" s="426"/>
      <c r="BO17" s="421"/>
      <c r="BP17" s="644"/>
      <c r="BQ17" s="645"/>
      <c r="BR17" s="645"/>
      <c r="BS17" s="645"/>
      <c r="BT17" s="645"/>
      <c r="BU17" s="645"/>
      <c r="BV17" s="645"/>
      <c r="BW17" s="645"/>
      <c r="BX17" s="645"/>
      <c r="BY17" s="645"/>
      <c r="BZ17" s="645"/>
      <c r="CA17" s="645"/>
      <c r="CB17" s="645"/>
      <c r="CC17" s="645"/>
      <c r="CD17" s="645"/>
      <c r="CE17" s="645"/>
      <c r="CF17" s="645"/>
      <c r="CG17" s="645"/>
      <c r="CH17" s="645"/>
      <c r="CI17" s="645"/>
      <c r="CJ17" s="645"/>
      <c r="CK17" s="645"/>
      <c r="CL17" s="645"/>
      <c r="CM17" s="645"/>
      <c r="CN17" s="645"/>
      <c r="CO17" s="645"/>
      <c r="CP17" s="645"/>
      <c r="CQ17" s="645"/>
      <c r="CR17" s="645"/>
      <c r="CS17" s="645"/>
      <c r="CT17" s="645"/>
      <c r="CU17" s="645"/>
      <c r="CV17" s="645"/>
      <c r="CW17" s="645"/>
      <c r="CX17" s="645"/>
      <c r="CY17" s="645"/>
      <c r="CZ17" s="645"/>
      <c r="DA17" s="645"/>
      <c r="DB17" s="645"/>
      <c r="DC17" s="645"/>
      <c r="DD17" s="645"/>
      <c r="DE17" s="645"/>
      <c r="DF17" s="645"/>
      <c r="DG17" s="645"/>
      <c r="DH17" s="645"/>
      <c r="DI17" s="645"/>
      <c r="DJ17" s="645"/>
      <c r="DK17" s="645"/>
      <c r="DL17" s="645"/>
      <c r="DM17" s="645"/>
      <c r="DN17" s="645"/>
      <c r="DO17" s="645"/>
      <c r="DP17" s="645"/>
      <c r="DQ17" s="645"/>
      <c r="DR17" s="645"/>
      <c r="DS17" s="645"/>
      <c r="DT17" s="645"/>
      <c r="DU17" s="645"/>
      <c r="DV17" s="645"/>
      <c r="DW17" s="645"/>
      <c r="DX17" s="645"/>
      <c r="DY17" s="645"/>
      <c r="DZ17" s="645"/>
    </row>
    <row r="18" spans="1:130">
      <c r="A18" s="428"/>
      <c r="B18" s="426"/>
      <c r="C18" s="426"/>
      <c r="D18" s="426"/>
      <c r="E18" s="478" t="b">
        <v>0</v>
      </c>
      <c r="F18" s="506" t="str">
        <f t="shared" si="0"/>
        <v>10M</v>
      </c>
      <c r="G18" s="425">
        <v>10</v>
      </c>
      <c r="H18" s="425" t="s">
        <v>70</v>
      </c>
      <c r="I18" s="461">
        <f t="shared" si="1"/>
        <v>-0.21</v>
      </c>
      <c r="J18" s="462"/>
      <c r="K18" s="463"/>
      <c r="L18" s="464">
        <f t="shared" si="3"/>
        <v>-0.21</v>
      </c>
      <c r="M18" s="465">
        <f t="shared" si="4"/>
        <v>16</v>
      </c>
      <c r="N18" s="466" t="str">
        <f t="shared" si="2"/>
        <v/>
      </c>
      <c r="O18" s="465" t="str">
        <f t="shared" si="5"/>
        <v/>
      </c>
      <c r="P18" s="466" t="str">
        <f t="shared" si="6"/>
        <v/>
      </c>
      <c r="Q18" s="465" t="str">
        <f t="shared" si="7"/>
        <v/>
      </c>
      <c r="R18" s="425" t="str">
        <f t="shared" si="8"/>
        <v/>
      </c>
      <c r="S18" s="464" t="str">
        <f t="shared" si="9"/>
        <v/>
      </c>
      <c r="T18" s="423"/>
      <c r="U18" s="469">
        <v>43424</v>
      </c>
      <c r="V18" s="470">
        <v>1.001610021571157</v>
      </c>
      <c r="W18" s="426"/>
      <c r="X18" s="472" t="s">
        <v>1062</v>
      </c>
      <c r="Y18" s="473">
        <f>_xll.RtGet($AE$3,$AE$4&amp;$X18&amp;$AE$5,Y$2)</f>
        <v>-0.21</v>
      </c>
      <c r="Z18" s="474">
        <f>_xll.RtGet($AE$3,$AE$4&amp;$X18&amp;$AE$5,Z$2)</f>
        <v>-0.21</v>
      </c>
      <c r="AA18" s="423"/>
      <c r="AB18" s="423"/>
      <c r="AC18" s="426"/>
      <c r="AD18" s="426"/>
      <c r="AE18" s="426"/>
      <c r="AF18" s="426"/>
      <c r="AG18" s="493" t="s">
        <v>1063</v>
      </c>
      <c r="AH18" s="493">
        <v>3</v>
      </c>
      <c r="AI18" s="426"/>
      <c r="AJ18" s="426"/>
      <c r="AK18" s="524"/>
      <c r="AL18" s="422"/>
      <c r="AM18" s="426"/>
      <c r="AN18" s="426"/>
      <c r="AO18" s="426"/>
      <c r="AP18" s="478" t="b">
        <v>1</v>
      </c>
      <c r="AQ18" s="509" t="str">
        <f t="shared" si="19"/>
        <v>10M</v>
      </c>
      <c r="AR18" s="465">
        <f t="shared" si="10"/>
        <v>10</v>
      </c>
      <c r="AS18" s="466" t="s">
        <v>70</v>
      </c>
      <c r="AT18" s="461">
        <f t="shared" si="20"/>
        <v>-0.35526881700000001</v>
      </c>
      <c r="AU18" s="462"/>
      <c r="AV18" s="463"/>
      <c r="AW18" s="464">
        <f t="shared" si="11"/>
        <v>-0.35526881700000001</v>
      </c>
      <c r="AX18" s="465">
        <f t="shared" si="17"/>
        <v>16</v>
      </c>
      <c r="AY18" s="466">
        <f t="shared" si="12"/>
        <v>16</v>
      </c>
      <c r="AZ18" s="465">
        <f t="shared" si="18"/>
        <v>16</v>
      </c>
      <c r="BA18" s="466">
        <f t="shared" si="13"/>
        <v>16</v>
      </c>
      <c r="BB18" s="465">
        <f t="shared" si="14"/>
        <v>10</v>
      </c>
      <c r="BC18" s="425" t="str">
        <f t="shared" si="15"/>
        <v>m</v>
      </c>
      <c r="BD18" s="464">
        <f t="shared" si="16"/>
        <v>-0.35526881700000001</v>
      </c>
      <c r="BE18" s="423"/>
      <c r="BF18" s="480" t="str">
        <v>-</v>
      </c>
      <c r="BG18" s="470" t="str">
        <v>-</v>
      </c>
      <c r="BH18" s="426"/>
      <c r="BI18" s="510" t="s">
        <v>1057</v>
      </c>
      <c r="BJ18" s="473">
        <f>_xll.RtGet($BN$7,$BN$8&amp;BI18&amp;$BN$9,$BJ$7)</f>
        <v>-0.35669616900000001</v>
      </c>
      <c r="BK18" s="474">
        <f>_xll.RtGet($BN$7,$BN$8&amp;BI18&amp;$BN$9,$BK$7)</f>
        <v>-0.35669616900000001</v>
      </c>
      <c r="BL18" s="426"/>
      <c r="BM18" s="426"/>
      <c r="BN18" s="426"/>
      <c r="BO18" s="421"/>
      <c r="BP18" s="644"/>
      <c r="BQ18" s="645"/>
      <c r="BR18" s="645"/>
      <c r="BS18" s="645"/>
      <c r="BT18" s="645"/>
      <c r="BU18" s="645"/>
      <c r="BV18" s="645"/>
      <c r="BW18" s="645"/>
      <c r="BX18" s="645"/>
      <c r="BY18" s="645"/>
      <c r="BZ18" s="645"/>
      <c r="CA18" s="645"/>
      <c r="CB18" s="645"/>
      <c r="CC18" s="645"/>
      <c r="CD18" s="645"/>
      <c r="CE18" s="645"/>
      <c r="CF18" s="645"/>
      <c r="CG18" s="645"/>
      <c r="CH18" s="645"/>
      <c r="CI18" s="645"/>
      <c r="CJ18" s="645"/>
      <c r="CK18" s="645"/>
      <c r="CL18" s="645"/>
      <c r="CM18" s="645"/>
      <c r="CN18" s="645"/>
      <c r="CO18" s="645"/>
      <c r="CP18" s="645"/>
      <c r="CQ18" s="645"/>
      <c r="CR18" s="645"/>
      <c r="CS18" s="645"/>
      <c r="CT18" s="645"/>
      <c r="CU18" s="645"/>
      <c r="CV18" s="645"/>
      <c r="CW18" s="645"/>
      <c r="CX18" s="645"/>
      <c r="CY18" s="645"/>
      <c r="CZ18" s="645"/>
      <c r="DA18" s="645"/>
      <c r="DB18" s="645"/>
      <c r="DC18" s="645"/>
      <c r="DD18" s="645"/>
      <c r="DE18" s="645"/>
      <c r="DF18" s="645"/>
      <c r="DG18" s="645"/>
      <c r="DH18" s="645"/>
      <c r="DI18" s="645"/>
      <c r="DJ18" s="645"/>
      <c r="DK18" s="645"/>
      <c r="DL18" s="645"/>
      <c r="DM18" s="645"/>
      <c r="DN18" s="645"/>
      <c r="DO18" s="645"/>
      <c r="DP18" s="645"/>
      <c r="DQ18" s="645"/>
      <c r="DR18" s="645"/>
      <c r="DS18" s="645"/>
      <c r="DT18" s="645"/>
      <c r="DU18" s="645"/>
      <c r="DV18" s="645"/>
      <c r="DW18" s="645"/>
      <c r="DX18" s="645"/>
      <c r="DY18" s="645"/>
      <c r="DZ18" s="645"/>
    </row>
    <row r="19" spans="1:130">
      <c r="A19" s="428"/>
      <c r="B19" s="426"/>
      <c r="C19" s="426"/>
      <c r="D19" s="426"/>
      <c r="E19" s="525" t="b">
        <v>0</v>
      </c>
      <c r="F19" s="526" t="str">
        <f t="shared" si="0"/>
        <v>11M</v>
      </c>
      <c r="G19" s="500">
        <v>11</v>
      </c>
      <c r="H19" s="500" t="s">
        <v>70</v>
      </c>
      <c r="I19" s="501">
        <f t="shared" si="1"/>
        <v>-0.2</v>
      </c>
      <c r="J19" s="502"/>
      <c r="K19" s="503"/>
      <c r="L19" s="504">
        <f t="shared" si="3"/>
        <v>-0.2</v>
      </c>
      <c r="M19" s="527">
        <f t="shared" si="4"/>
        <v>17</v>
      </c>
      <c r="N19" s="528" t="str">
        <f t="shared" si="2"/>
        <v/>
      </c>
      <c r="O19" s="527" t="str">
        <f t="shared" si="5"/>
        <v/>
      </c>
      <c r="P19" s="528" t="str">
        <f t="shared" si="6"/>
        <v/>
      </c>
      <c r="Q19" s="527" t="str">
        <f t="shared" si="7"/>
        <v/>
      </c>
      <c r="R19" s="500" t="str">
        <f t="shared" si="8"/>
        <v/>
      </c>
      <c r="S19" s="504" t="str">
        <f t="shared" si="9"/>
        <v/>
      </c>
      <c r="T19" s="423"/>
      <c r="U19" s="469">
        <v>43453</v>
      </c>
      <c r="V19" s="470">
        <v>1.0017220930595023</v>
      </c>
      <c r="W19" s="426"/>
      <c r="X19" s="521" t="s">
        <v>1064</v>
      </c>
      <c r="Y19" s="529">
        <f>_xll.RtGet($AE$3,$AE$4&amp;$X19&amp;$AE$5,Y$2)</f>
        <v>-0.2</v>
      </c>
      <c r="Z19" s="530">
        <f>_xll.RtGet($AE$3,$AE$4&amp;$X19&amp;$AE$5,Z$2)</f>
        <v>-0.2</v>
      </c>
      <c r="AA19" s="423"/>
      <c r="AB19" s="423"/>
      <c r="AC19" s="423"/>
      <c r="AD19" s="423"/>
      <c r="AE19" s="423"/>
      <c r="AF19" s="426"/>
      <c r="AG19" s="426"/>
      <c r="AH19" s="426"/>
      <c r="AI19" s="426"/>
      <c r="AJ19" s="436" t="s">
        <v>1065</v>
      </c>
      <c r="AK19" s="426"/>
      <c r="AL19" s="422"/>
      <c r="AM19" s="426"/>
      <c r="AN19" s="426"/>
      <c r="AO19" s="426"/>
      <c r="AP19" s="478" t="b">
        <v>1</v>
      </c>
      <c r="AQ19" s="509" t="str">
        <f t="shared" si="19"/>
        <v>11M</v>
      </c>
      <c r="AR19" s="465">
        <f t="shared" si="10"/>
        <v>11</v>
      </c>
      <c r="AS19" s="466" t="s">
        <v>70</v>
      </c>
      <c r="AT19" s="461">
        <f t="shared" si="20"/>
        <v>-0.353822574</v>
      </c>
      <c r="AU19" s="462"/>
      <c r="AV19" s="463"/>
      <c r="AW19" s="464">
        <f t="shared" si="11"/>
        <v>-0.353822574</v>
      </c>
      <c r="AX19" s="465">
        <f t="shared" si="17"/>
        <v>17</v>
      </c>
      <c r="AY19" s="466">
        <f t="shared" si="12"/>
        <v>17</v>
      </c>
      <c r="AZ19" s="465">
        <f t="shared" si="18"/>
        <v>17</v>
      </c>
      <c r="BA19" s="466">
        <f t="shared" si="13"/>
        <v>17</v>
      </c>
      <c r="BB19" s="465">
        <f t="shared" si="14"/>
        <v>11</v>
      </c>
      <c r="BC19" s="425" t="str">
        <f t="shared" si="15"/>
        <v>m</v>
      </c>
      <c r="BD19" s="464">
        <f t="shared" si="16"/>
        <v>-0.353822574</v>
      </c>
      <c r="BE19" s="423"/>
      <c r="BF19" s="480" t="str">
        <v>-</v>
      </c>
      <c r="BG19" s="470" t="str">
        <v>-</v>
      </c>
      <c r="BH19" s="426"/>
      <c r="BI19" s="510" t="s">
        <v>77</v>
      </c>
      <c r="BJ19" s="473">
        <f>_xll.RtGet($BN$7,$BN$8&amp;BI19&amp;$BN$9,$BJ$7)</f>
        <v>-0.35623333600000001</v>
      </c>
      <c r="BK19" s="474">
        <f>_xll.RtGet($BN$7,$BN$8&amp;BI19&amp;$BN$9,$BK$7)</f>
        <v>-0.35623333600000001</v>
      </c>
      <c r="BL19" s="423"/>
      <c r="BM19" s="426"/>
      <c r="BN19" s="426"/>
      <c r="BO19" s="421"/>
      <c r="BP19" s="644"/>
      <c r="BQ19" s="645"/>
      <c r="BR19" s="645"/>
      <c r="BS19" s="645"/>
      <c r="BT19" s="645"/>
      <c r="BU19" s="645"/>
      <c r="BV19" s="645"/>
      <c r="BW19" s="645"/>
      <c r="BX19" s="645"/>
      <c r="BY19" s="645"/>
      <c r="BZ19" s="645"/>
      <c r="CA19" s="645"/>
      <c r="CB19" s="645"/>
      <c r="CC19" s="645"/>
      <c r="CD19" s="645"/>
      <c r="CE19" s="645"/>
      <c r="CF19" s="645"/>
      <c r="CG19" s="645"/>
      <c r="CH19" s="645"/>
      <c r="CI19" s="645"/>
      <c r="CJ19" s="645"/>
      <c r="CK19" s="645"/>
      <c r="CL19" s="645"/>
      <c r="CM19" s="645"/>
      <c r="CN19" s="645"/>
      <c r="CO19" s="645"/>
      <c r="CP19" s="645"/>
      <c r="CQ19" s="645"/>
      <c r="CR19" s="645"/>
      <c r="CS19" s="645"/>
      <c r="CT19" s="645"/>
      <c r="CU19" s="645"/>
      <c r="CV19" s="645"/>
      <c r="CW19" s="645"/>
      <c r="CX19" s="645"/>
      <c r="CY19" s="645"/>
      <c r="CZ19" s="645"/>
      <c r="DA19" s="645"/>
      <c r="DB19" s="645"/>
      <c r="DC19" s="645"/>
      <c r="DD19" s="645"/>
      <c r="DE19" s="645"/>
      <c r="DF19" s="645"/>
      <c r="DG19" s="645"/>
      <c r="DH19" s="645"/>
      <c r="DI19" s="645"/>
      <c r="DJ19" s="645"/>
      <c r="DK19" s="645"/>
      <c r="DL19" s="645"/>
      <c r="DM19" s="645"/>
      <c r="DN19" s="645"/>
      <c r="DO19" s="645"/>
      <c r="DP19" s="645"/>
      <c r="DQ19" s="645"/>
      <c r="DR19" s="645"/>
      <c r="DS19" s="645"/>
      <c r="DT19" s="645"/>
      <c r="DU19" s="645"/>
      <c r="DV19" s="645"/>
      <c r="DW19" s="645"/>
      <c r="DX19" s="645"/>
      <c r="DY19" s="645"/>
      <c r="DZ19" s="645"/>
    </row>
    <row r="20" spans="1:130">
      <c r="A20" s="428"/>
      <c r="B20" s="426"/>
      <c r="C20" s="426"/>
      <c r="D20" s="426"/>
      <c r="E20" s="423"/>
      <c r="F20" s="423"/>
      <c r="G20" s="423"/>
      <c r="H20" s="423"/>
      <c r="I20" s="423"/>
      <c r="J20" s="423"/>
      <c r="K20" s="423"/>
      <c r="L20" s="423"/>
      <c r="M20" s="423"/>
      <c r="N20" s="423"/>
      <c r="O20" s="423"/>
      <c r="P20" s="423"/>
      <c r="Q20" s="423"/>
      <c r="R20" s="423"/>
      <c r="S20" s="423"/>
      <c r="T20" s="423"/>
      <c r="U20" s="469">
        <v>43543</v>
      </c>
      <c r="V20" s="470">
        <v>1.0024563296674631</v>
      </c>
      <c r="W20" s="426"/>
      <c r="X20" s="423"/>
      <c r="Y20" s="423"/>
      <c r="Z20" s="423"/>
      <c r="AA20" s="423"/>
      <c r="AB20" s="423"/>
      <c r="AC20" s="423"/>
      <c r="AD20" s="423"/>
      <c r="AE20" s="423"/>
      <c r="AF20" s="426"/>
      <c r="AG20" s="434" t="s">
        <v>1066</v>
      </c>
      <c r="AH20" s="435"/>
      <c r="AI20" s="426"/>
      <c r="AJ20" s="456" t="s">
        <v>1067</v>
      </c>
      <c r="AK20" s="426"/>
      <c r="AL20" s="422"/>
      <c r="AM20" s="426"/>
      <c r="AN20" s="426"/>
      <c r="AO20" s="426"/>
      <c r="AP20" s="478" t="b">
        <v>1</v>
      </c>
      <c r="AQ20" s="531" t="str">
        <f t="shared" si="19"/>
        <v>12M</v>
      </c>
      <c r="AR20" s="465">
        <f t="shared" si="10"/>
        <v>12</v>
      </c>
      <c r="AS20" s="466" t="s">
        <v>70</v>
      </c>
      <c r="AT20" s="461">
        <f t="shared" si="20"/>
        <v>-0.35195380200000004</v>
      </c>
      <c r="AU20" s="462"/>
      <c r="AV20" s="463"/>
      <c r="AW20" s="464">
        <f t="shared" si="11"/>
        <v>-0.35195380200000004</v>
      </c>
      <c r="AX20" s="465">
        <f t="shared" si="17"/>
        <v>18</v>
      </c>
      <c r="AY20" s="466">
        <f t="shared" si="12"/>
        <v>18</v>
      </c>
      <c r="AZ20" s="465">
        <f t="shared" si="18"/>
        <v>18</v>
      </c>
      <c r="BA20" s="466">
        <f t="shared" si="13"/>
        <v>18</v>
      </c>
      <c r="BB20" s="465">
        <f t="shared" si="14"/>
        <v>12</v>
      </c>
      <c r="BC20" s="425" t="str">
        <f t="shared" si="15"/>
        <v>m</v>
      </c>
      <c r="BD20" s="464">
        <f t="shared" si="16"/>
        <v>-0.35195380200000004</v>
      </c>
      <c r="BE20" s="423"/>
      <c r="BF20" s="480" t="str">
        <v>-</v>
      </c>
      <c r="BG20" s="470" t="str">
        <v>-</v>
      </c>
      <c r="BH20" s="426"/>
      <c r="BI20" s="510" t="s">
        <v>1062</v>
      </c>
      <c r="BJ20" s="473">
        <f>_xll.RtGet($BN$7,$BN$8&amp;BI20&amp;$BN$9,$BJ$7)</f>
        <v>-0.35526881700000001</v>
      </c>
      <c r="BK20" s="474">
        <f>_xll.RtGet($BN$7,$BN$8&amp;BI20&amp;$BN$9,$BK$7)</f>
        <v>-0.35526881700000001</v>
      </c>
      <c r="BL20" s="423"/>
      <c r="BM20" s="426"/>
      <c r="BN20" s="426"/>
      <c r="BO20" s="421"/>
      <c r="BP20" s="644"/>
      <c r="BQ20" s="645"/>
      <c r="BR20" s="645"/>
      <c r="BS20" s="645"/>
      <c r="BT20" s="645"/>
      <c r="BU20" s="645"/>
      <c r="BV20" s="645"/>
      <c r="BW20" s="645"/>
      <c r="BX20" s="645"/>
      <c r="BY20" s="645"/>
      <c r="BZ20" s="645"/>
      <c r="CA20" s="645"/>
      <c r="CB20" s="645"/>
      <c r="CC20" s="645"/>
      <c r="CD20" s="645"/>
      <c r="CE20" s="645"/>
      <c r="CF20" s="645"/>
      <c r="CG20" s="645"/>
      <c r="CH20" s="645"/>
      <c r="CI20" s="645"/>
      <c r="CJ20" s="645"/>
      <c r="CK20" s="645"/>
      <c r="CL20" s="645"/>
      <c r="CM20" s="645"/>
      <c r="CN20" s="645"/>
      <c r="CO20" s="645"/>
      <c r="CP20" s="645"/>
      <c r="CQ20" s="645"/>
      <c r="CR20" s="645"/>
      <c r="CS20" s="645"/>
      <c r="CT20" s="645"/>
      <c r="CU20" s="645"/>
      <c r="CV20" s="645"/>
      <c r="CW20" s="645"/>
      <c r="CX20" s="645"/>
      <c r="CY20" s="645"/>
      <c r="CZ20" s="645"/>
      <c r="DA20" s="645"/>
      <c r="DB20" s="645"/>
      <c r="DC20" s="645"/>
      <c r="DD20" s="645"/>
      <c r="DE20" s="645"/>
      <c r="DF20" s="645"/>
      <c r="DG20" s="645"/>
      <c r="DH20" s="645"/>
      <c r="DI20" s="645"/>
      <c r="DJ20" s="645"/>
      <c r="DK20" s="645"/>
      <c r="DL20" s="645"/>
      <c r="DM20" s="645"/>
      <c r="DN20" s="645"/>
      <c r="DO20" s="645"/>
      <c r="DP20" s="645"/>
      <c r="DQ20" s="645"/>
      <c r="DR20" s="645"/>
      <c r="DS20" s="645"/>
      <c r="DT20" s="645"/>
      <c r="DU20" s="645"/>
      <c r="DV20" s="645"/>
      <c r="DW20" s="645"/>
      <c r="DX20" s="645"/>
      <c r="DY20" s="645"/>
      <c r="DZ20" s="645"/>
    </row>
    <row r="21" spans="1:130">
      <c r="A21" s="428"/>
      <c r="B21" s="426"/>
      <c r="C21" s="426"/>
      <c r="D21" s="426"/>
      <c r="E21" s="429" t="s">
        <v>998</v>
      </c>
      <c r="F21" s="423"/>
      <c r="G21" s="423"/>
      <c r="H21" s="423"/>
      <c r="I21" s="429" t="s">
        <v>999</v>
      </c>
      <c r="J21" s="429" t="s">
        <v>1000</v>
      </c>
      <c r="K21" s="429" t="s">
        <v>1001</v>
      </c>
      <c r="L21" s="429" t="s">
        <v>1002</v>
      </c>
      <c r="M21" s="426"/>
      <c r="N21" s="426"/>
      <c r="O21" s="426"/>
      <c r="P21" s="426"/>
      <c r="Q21" s="426"/>
      <c r="R21" s="426"/>
      <c r="S21" s="426"/>
      <c r="T21" s="423"/>
      <c r="U21" s="469">
        <v>43636</v>
      </c>
      <c r="V21" s="470">
        <v>1.0031008747428742</v>
      </c>
      <c r="W21" s="426"/>
      <c r="X21" s="532" t="s">
        <v>1068</v>
      </c>
      <c r="Y21" s="533" t="s">
        <v>16</v>
      </c>
      <c r="Z21" s="534" t="s">
        <v>17</v>
      </c>
      <c r="AA21" s="423"/>
      <c r="AB21" s="423"/>
      <c r="AC21" s="423"/>
      <c r="AD21" s="440" t="s">
        <v>1007</v>
      </c>
      <c r="AE21" s="441" t="s">
        <v>1008</v>
      </c>
      <c r="AF21" s="426"/>
      <c r="AG21" s="456" t="s">
        <v>1069</v>
      </c>
      <c r="AH21" s="456">
        <v>0</v>
      </c>
      <c r="AI21" s="426"/>
      <c r="AJ21" s="475" t="s">
        <v>1070</v>
      </c>
      <c r="AK21" s="426"/>
      <c r="AL21" s="422"/>
      <c r="AM21" s="535"/>
      <c r="AN21" s="426"/>
      <c r="AO21" s="426"/>
      <c r="AP21" s="478" t="b">
        <v>1</v>
      </c>
      <c r="AQ21" s="509" t="str">
        <f t="shared" si="19"/>
        <v>13M</v>
      </c>
      <c r="AR21" s="465">
        <f t="shared" si="10"/>
        <v>13</v>
      </c>
      <c r="AS21" s="466" t="s">
        <v>1071</v>
      </c>
      <c r="AT21" s="461">
        <f t="shared" si="20"/>
        <v>-0.34904649700000001</v>
      </c>
      <c r="AU21" s="462"/>
      <c r="AV21" s="463"/>
      <c r="AW21" s="464">
        <f t="shared" si="11"/>
        <v>-0.34904649700000001</v>
      </c>
      <c r="AX21" s="465">
        <f t="shared" si="17"/>
        <v>19</v>
      </c>
      <c r="AY21" s="466">
        <f t="shared" si="12"/>
        <v>19</v>
      </c>
      <c r="AZ21" s="465">
        <f t="shared" si="18"/>
        <v>19</v>
      </c>
      <c r="BA21" s="466">
        <f t="shared" si="13"/>
        <v>19</v>
      </c>
      <c r="BB21" s="465">
        <f t="shared" si="14"/>
        <v>13</v>
      </c>
      <c r="BC21" s="425" t="str">
        <f t="shared" si="15"/>
        <v>e</v>
      </c>
      <c r="BD21" s="464">
        <f t="shared" si="16"/>
        <v>-0.34904649700000001</v>
      </c>
      <c r="BE21" s="423"/>
      <c r="BF21" s="480" t="str">
        <v>-</v>
      </c>
      <c r="BG21" s="470" t="str">
        <v>-</v>
      </c>
      <c r="BH21" s="426"/>
      <c r="BI21" s="510" t="s">
        <v>1064</v>
      </c>
      <c r="BJ21" s="473">
        <f>_xll.RtGet($BN$7,$BN$8&amp;BI21&amp;$BN$9,$BJ$7)</f>
        <v>-0.353822574</v>
      </c>
      <c r="BK21" s="474">
        <f>_xll.RtGet($BN$7,$BN$8&amp;BI21&amp;$BN$9,$BK$7)</f>
        <v>-0.353822574</v>
      </c>
      <c r="BL21" s="423"/>
      <c r="BM21" s="426"/>
      <c r="BN21" s="426"/>
      <c r="BO21" s="421"/>
      <c r="BP21" s="644"/>
      <c r="BQ21" s="645"/>
      <c r="BR21" s="645"/>
      <c r="BS21" s="645"/>
      <c r="BT21" s="645"/>
      <c r="BU21" s="645"/>
      <c r="BV21" s="645"/>
      <c r="BW21" s="645"/>
      <c r="BX21" s="645"/>
      <c r="BY21" s="645"/>
      <c r="BZ21" s="645"/>
      <c r="CA21" s="645"/>
      <c r="CB21" s="645"/>
      <c r="CC21" s="645"/>
      <c r="CD21" s="645"/>
      <c r="CE21" s="645"/>
      <c r="CF21" s="645"/>
      <c r="CG21" s="645"/>
      <c r="CH21" s="645"/>
      <c r="CI21" s="645"/>
      <c r="CJ21" s="645"/>
      <c r="CK21" s="645"/>
      <c r="CL21" s="645"/>
      <c r="CM21" s="645"/>
      <c r="CN21" s="645"/>
      <c r="CO21" s="645"/>
      <c r="CP21" s="645"/>
      <c r="CQ21" s="645"/>
      <c r="CR21" s="645"/>
      <c r="CS21" s="645"/>
      <c r="CT21" s="645"/>
      <c r="CU21" s="645"/>
      <c r="CV21" s="645"/>
      <c r="CW21" s="645"/>
      <c r="CX21" s="645"/>
      <c r="CY21" s="645"/>
      <c r="CZ21" s="645"/>
      <c r="DA21" s="645"/>
      <c r="DB21" s="645"/>
      <c r="DC21" s="645"/>
      <c r="DD21" s="645"/>
      <c r="DE21" s="645"/>
      <c r="DF21" s="645"/>
      <c r="DG21" s="645"/>
      <c r="DH21" s="645"/>
      <c r="DI21" s="645"/>
      <c r="DJ21" s="645"/>
      <c r="DK21" s="645"/>
      <c r="DL21" s="645"/>
      <c r="DM21" s="645"/>
      <c r="DN21" s="645"/>
      <c r="DO21" s="645"/>
      <c r="DP21" s="645"/>
      <c r="DQ21" s="645"/>
      <c r="DR21" s="645"/>
      <c r="DS21" s="645"/>
      <c r="DT21" s="645"/>
      <c r="DU21" s="645"/>
      <c r="DV21" s="645"/>
      <c r="DW21" s="645"/>
      <c r="DX21" s="645"/>
      <c r="DY21" s="645"/>
      <c r="DZ21" s="645"/>
    </row>
    <row r="22" spans="1:130">
      <c r="A22" s="428"/>
      <c r="B22" s="426"/>
      <c r="C22" s="426"/>
      <c r="D22" s="426"/>
      <c r="E22" s="490" t="b">
        <v>1</v>
      </c>
      <c r="F22" s="536" t="str">
        <f>X22</f>
        <v>STUB</v>
      </c>
      <c r="G22" s="426"/>
      <c r="H22" s="426"/>
      <c r="I22" s="446">
        <f>AVERAGE(Y22:Z22)</f>
        <v>-0.22033333300000002</v>
      </c>
      <c r="J22" s="537"/>
      <c r="K22" s="448"/>
      <c r="L22" s="537">
        <f>IF(ISNUMBER(J22),J22,I22)+K22</f>
        <v>-0.22033333300000002</v>
      </c>
      <c r="M22" s="426"/>
      <c r="N22" s="426"/>
      <c r="O22" s="426"/>
      <c r="P22" s="426"/>
      <c r="Q22" s="426"/>
      <c r="R22" s="426"/>
      <c r="S22" s="426"/>
      <c r="T22" s="423"/>
      <c r="U22" s="469">
        <v>43727</v>
      </c>
      <c r="V22" s="470">
        <v>1.0035022905064803</v>
      </c>
      <c r="W22" s="426"/>
      <c r="X22" s="538" t="s">
        <v>1068</v>
      </c>
      <c r="Y22" s="539">
        <f>_xll.RtGet($AE$21,$AE$22&amp;$X22&amp;$AE$23,Y$21)</f>
        <v>-0.230333333</v>
      </c>
      <c r="Z22" s="455">
        <f>_xll.RtGet($AE$21,$AE$22&amp;$X22&amp;$AE$23,Z$21)</f>
        <v>-0.21033333300000001</v>
      </c>
      <c r="AA22" s="423"/>
      <c r="AB22" s="423"/>
      <c r="AC22" s="423"/>
      <c r="AD22" s="458" t="s">
        <v>1013</v>
      </c>
      <c r="AE22" s="459" t="s">
        <v>1017</v>
      </c>
      <c r="AF22" s="426"/>
      <c r="AG22" s="475" t="s">
        <v>1072</v>
      </c>
      <c r="AH22" s="475">
        <v>1</v>
      </c>
      <c r="AI22" s="426"/>
      <c r="AJ22" s="493" t="s">
        <v>97</v>
      </c>
      <c r="AK22" s="426"/>
      <c r="AL22" s="422"/>
      <c r="AM22" s="540"/>
      <c r="AN22" s="426"/>
      <c r="AO22" s="426"/>
      <c r="AP22" s="478" t="b">
        <v>1</v>
      </c>
      <c r="AQ22" s="509" t="str">
        <f t="shared" si="19"/>
        <v>14M</v>
      </c>
      <c r="AR22" s="465">
        <f t="shared" si="10"/>
        <v>14</v>
      </c>
      <c r="AS22" s="466" t="s">
        <v>1071</v>
      </c>
      <c r="AT22" s="461">
        <f t="shared" si="20"/>
        <v>-0.34611951700000004</v>
      </c>
      <c r="AU22" s="462"/>
      <c r="AV22" s="463"/>
      <c r="AW22" s="464">
        <f t="shared" si="11"/>
        <v>-0.34611951700000004</v>
      </c>
      <c r="AX22" s="465">
        <f t="shared" si="17"/>
        <v>20</v>
      </c>
      <c r="AY22" s="466">
        <f t="shared" si="12"/>
        <v>20</v>
      </c>
      <c r="AZ22" s="465">
        <f t="shared" si="18"/>
        <v>20</v>
      </c>
      <c r="BA22" s="466">
        <f t="shared" si="13"/>
        <v>20</v>
      </c>
      <c r="BB22" s="465">
        <f t="shared" si="14"/>
        <v>14</v>
      </c>
      <c r="BC22" s="425" t="str">
        <f t="shared" si="15"/>
        <v>e</v>
      </c>
      <c r="BD22" s="464">
        <f t="shared" si="16"/>
        <v>-0.34611951700000004</v>
      </c>
      <c r="BE22" s="423"/>
      <c r="BF22" s="480" t="str">
        <v>-</v>
      </c>
      <c r="BG22" s="470" t="str">
        <v>-</v>
      </c>
      <c r="BH22" s="426"/>
      <c r="BI22" s="510" t="s">
        <v>1073</v>
      </c>
      <c r="BJ22" s="473">
        <f>_xll.RtGet($BN$7,$BN$8&amp;BI22&amp;$BN$9,$BJ$7)</f>
        <v>-0.35195380200000004</v>
      </c>
      <c r="BK22" s="474">
        <f>_xll.RtGet($BN$7,$BN$8&amp;BI22&amp;$BN$9,$BK$7)</f>
        <v>-0.35195380200000004</v>
      </c>
      <c r="BL22" s="423"/>
      <c r="BM22" s="426"/>
      <c r="BN22" s="426"/>
      <c r="BO22" s="421"/>
      <c r="BP22" s="644"/>
      <c r="BQ22" s="645"/>
      <c r="BR22" s="645"/>
      <c r="BS22" s="645"/>
      <c r="BT22" s="645"/>
      <c r="BU22" s="645"/>
      <c r="BV22" s="645"/>
      <c r="BW22" s="645"/>
      <c r="BX22" s="645"/>
      <c r="BY22" s="645"/>
      <c r="BZ22" s="645"/>
      <c r="CA22" s="645"/>
      <c r="CB22" s="645"/>
      <c r="CC22" s="645"/>
      <c r="CD22" s="645"/>
      <c r="CE22" s="645"/>
      <c r="CF22" s="645"/>
      <c r="CG22" s="645"/>
      <c r="CH22" s="645"/>
      <c r="CI22" s="645"/>
      <c r="CJ22" s="645"/>
      <c r="CK22" s="645"/>
      <c r="CL22" s="645"/>
      <c r="CM22" s="645"/>
      <c r="CN22" s="645"/>
      <c r="CO22" s="645"/>
      <c r="CP22" s="645"/>
      <c r="CQ22" s="645"/>
      <c r="CR22" s="645"/>
      <c r="CS22" s="645"/>
      <c r="CT22" s="645"/>
      <c r="CU22" s="645"/>
      <c r="CV22" s="645"/>
      <c r="CW22" s="645"/>
      <c r="CX22" s="645"/>
      <c r="CY22" s="645"/>
      <c r="CZ22" s="645"/>
      <c r="DA22" s="645"/>
      <c r="DB22" s="645"/>
      <c r="DC22" s="645"/>
      <c r="DD22" s="645"/>
      <c r="DE22" s="645"/>
      <c r="DF22" s="645"/>
      <c r="DG22" s="645"/>
      <c r="DH22" s="645"/>
      <c r="DI22" s="645"/>
      <c r="DJ22" s="645"/>
      <c r="DK22" s="645"/>
      <c r="DL22" s="645"/>
      <c r="DM22" s="645"/>
      <c r="DN22" s="645"/>
      <c r="DO22" s="645"/>
      <c r="DP22" s="645"/>
      <c r="DQ22" s="645"/>
      <c r="DR22" s="645"/>
      <c r="DS22" s="645"/>
      <c r="DT22" s="645"/>
      <c r="DU22" s="645"/>
      <c r="DV22" s="645"/>
      <c r="DW22" s="645"/>
      <c r="DX22" s="645"/>
      <c r="DY22" s="645"/>
      <c r="DZ22" s="645"/>
    </row>
    <row r="23" spans="1:130">
      <c r="A23" s="428"/>
      <c r="B23" s="426"/>
      <c r="C23" s="426"/>
      <c r="D23" s="426"/>
      <c r="E23" s="541" t="b">
        <v>1</v>
      </c>
      <c r="F23" s="542" t="s">
        <v>1074</v>
      </c>
      <c r="G23" s="426"/>
      <c r="H23" s="426"/>
      <c r="I23" s="501">
        <f>Y26</f>
        <v>-0.27200000000000002</v>
      </c>
      <c r="J23" s="543"/>
      <c r="K23" s="503"/>
      <c r="L23" s="543">
        <f>IF(ISNUMBER(J23),J23,I23)+K23</f>
        <v>-0.27200000000000002</v>
      </c>
      <c r="M23" s="426"/>
      <c r="N23" s="426"/>
      <c r="O23" s="426"/>
      <c r="P23" s="426"/>
      <c r="Q23" s="426"/>
      <c r="R23" s="426"/>
      <c r="S23" s="426"/>
      <c r="T23" s="423"/>
      <c r="U23" s="469">
        <v>43817</v>
      </c>
      <c r="V23" s="470">
        <v>1.0036244706968733</v>
      </c>
      <c r="W23" s="426"/>
      <c r="X23" s="544" t="s">
        <v>1075</v>
      </c>
      <c r="Y23" s="1020">
        <f>_xll.RtGet($AE$21,$AE$22&amp;$X22&amp;$AE$23,$X$23)</f>
        <v>43453</v>
      </c>
      <c r="Z23" s="1021"/>
      <c r="AA23" s="423"/>
      <c r="AB23" s="423"/>
      <c r="AC23" s="423"/>
      <c r="AD23" s="511" t="s">
        <v>1022</v>
      </c>
      <c r="AE23" s="512" t="s">
        <v>1025</v>
      </c>
      <c r="AF23" s="426"/>
      <c r="AG23" s="493" t="s">
        <v>1076</v>
      </c>
      <c r="AH23" s="493">
        <v>2</v>
      </c>
      <c r="AI23" s="426"/>
      <c r="AJ23" s="426"/>
      <c r="AK23" s="426"/>
      <c r="AL23" s="422"/>
      <c r="AM23" s="426"/>
      <c r="AN23" s="426"/>
      <c r="AO23" s="426"/>
      <c r="AP23" s="478" t="b">
        <v>1</v>
      </c>
      <c r="AQ23" s="509" t="str">
        <f t="shared" si="19"/>
        <v>15M</v>
      </c>
      <c r="AR23" s="465">
        <f t="shared" si="10"/>
        <v>15</v>
      </c>
      <c r="AS23" s="466" t="s">
        <v>1071</v>
      </c>
      <c r="AT23" s="461">
        <f t="shared" si="20"/>
        <v>-0.34200000000000003</v>
      </c>
      <c r="AU23" s="462"/>
      <c r="AV23" s="463"/>
      <c r="AW23" s="464">
        <f t="shared" si="11"/>
        <v>-0.34200000000000003</v>
      </c>
      <c r="AX23" s="465">
        <f t="shared" si="17"/>
        <v>21</v>
      </c>
      <c r="AY23" s="466">
        <f t="shared" si="12"/>
        <v>21</v>
      </c>
      <c r="AZ23" s="465">
        <f t="shared" si="18"/>
        <v>21</v>
      </c>
      <c r="BA23" s="466">
        <f t="shared" si="13"/>
        <v>21</v>
      </c>
      <c r="BB23" s="465">
        <f t="shared" si="14"/>
        <v>15</v>
      </c>
      <c r="BC23" s="425" t="str">
        <f t="shared" si="15"/>
        <v>e</v>
      </c>
      <c r="BD23" s="464">
        <f t="shared" si="16"/>
        <v>-0.34200000000000003</v>
      </c>
      <c r="BE23" s="423"/>
      <c r="BF23" s="480" t="str">
        <v>-</v>
      </c>
      <c r="BG23" s="470" t="str">
        <v>-</v>
      </c>
      <c r="BH23" s="426"/>
      <c r="BI23" s="510" t="s">
        <v>1077</v>
      </c>
      <c r="BJ23" s="473">
        <f>_xll.RtGet($BN$7,$BN$8&amp;BI23&amp;$BN$9,$BJ$7)</f>
        <v>-0.34904649700000001</v>
      </c>
      <c r="BK23" s="474">
        <f>_xll.RtGet($BN$7,$BN$8&amp;BI23&amp;$BN$9,$BK$7)</f>
        <v>-0.34904649700000001</v>
      </c>
      <c r="BL23" s="423"/>
      <c r="BM23" s="426"/>
      <c r="BN23" s="426"/>
      <c r="BO23" s="421"/>
      <c r="BP23" s="644"/>
      <c r="BQ23" s="645"/>
      <c r="BR23" s="645"/>
      <c r="BS23" s="645"/>
      <c r="BT23" s="645"/>
      <c r="BU23" s="645"/>
      <c r="BV23" s="645"/>
      <c r="BW23" s="645"/>
      <c r="BX23" s="645"/>
      <c r="BY23" s="645"/>
      <c r="BZ23" s="645"/>
      <c r="CA23" s="645"/>
      <c r="CB23" s="645"/>
      <c r="CC23" s="645"/>
      <c r="CD23" s="645"/>
      <c r="CE23" s="645"/>
      <c r="CF23" s="645"/>
      <c r="CG23" s="645"/>
      <c r="CH23" s="645"/>
      <c r="CI23" s="645"/>
      <c r="CJ23" s="645"/>
      <c r="CK23" s="645"/>
      <c r="CL23" s="645"/>
      <c r="CM23" s="645"/>
      <c r="CN23" s="645"/>
      <c r="CO23" s="645"/>
      <c r="CP23" s="645"/>
      <c r="CQ23" s="645"/>
      <c r="CR23" s="645"/>
      <c r="CS23" s="645"/>
      <c r="CT23" s="645"/>
      <c r="CU23" s="645"/>
      <c r="CV23" s="645"/>
      <c r="CW23" s="645"/>
      <c r="CX23" s="645"/>
      <c r="CY23" s="645"/>
      <c r="CZ23" s="645"/>
      <c r="DA23" s="645"/>
      <c r="DB23" s="645"/>
      <c r="DC23" s="645"/>
      <c r="DD23" s="645"/>
      <c r="DE23" s="645"/>
      <c r="DF23" s="645"/>
      <c r="DG23" s="645"/>
      <c r="DH23" s="645"/>
      <c r="DI23" s="645"/>
      <c r="DJ23" s="645"/>
      <c r="DK23" s="645"/>
      <c r="DL23" s="645"/>
      <c r="DM23" s="645"/>
      <c r="DN23" s="645"/>
      <c r="DO23" s="645"/>
      <c r="DP23" s="645"/>
      <c r="DQ23" s="645"/>
      <c r="DR23" s="645"/>
      <c r="DS23" s="645"/>
      <c r="DT23" s="645"/>
      <c r="DU23" s="645"/>
      <c r="DV23" s="645"/>
      <c r="DW23" s="645"/>
      <c r="DX23" s="645"/>
      <c r="DY23" s="645"/>
      <c r="DZ23" s="645"/>
    </row>
    <row r="24" spans="1:130">
      <c r="A24" s="428"/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  <c r="Q24" s="426"/>
      <c r="R24" s="426"/>
      <c r="S24" s="426"/>
      <c r="T24" s="423"/>
      <c r="U24" s="469">
        <v>43908</v>
      </c>
      <c r="V24" s="470">
        <v>1.0034621328229412</v>
      </c>
      <c r="W24" s="426"/>
      <c r="X24" s="425"/>
      <c r="Y24" s="425"/>
      <c r="Z24" s="425"/>
      <c r="AA24" s="423"/>
      <c r="AB24" s="423"/>
      <c r="AC24" s="426"/>
      <c r="AD24" s="426"/>
      <c r="AE24" s="426"/>
      <c r="AF24" s="426"/>
      <c r="AG24" s="426"/>
      <c r="AH24" s="426"/>
      <c r="AI24" s="426"/>
      <c r="AJ24" s="436" t="s">
        <v>1078</v>
      </c>
      <c r="AK24" s="426"/>
      <c r="AL24" s="422"/>
      <c r="AM24" s="426"/>
      <c r="AN24" s="426"/>
      <c r="AO24" s="426"/>
      <c r="AP24" s="478" t="b">
        <v>1</v>
      </c>
      <c r="AQ24" s="509" t="str">
        <f t="shared" si="19"/>
        <v>16M</v>
      </c>
      <c r="AR24" s="465">
        <f t="shared" si="10"/>
        <v>16</v>
      </c>
      <c r="AS24" s="466" t="s">
        <v>1071</v>
      </c>
      <c r="AT24" s="461">
        <f t="shared" si="20"/>
        <v>-0.33683245300000003</v>
      </c>
      <c r="AU24" s="462"/>
      <c r="AV24" s="463"/>
      <c r="AW24" s="464">
        <f t="shared" si="11"/>
        <v>-0.33683245300000003</v>
      </c>
      <c r="AX24" s="465">
        <f t="shared" si="17"/>
        <v>22</v>
      </c>
      <c r="AY24" s="466">
        <f t="shared" si="12"/>
        <v>22</v>
      </c>
      <c r="AZ24" s="465">
        <f t="shared" si="18"/>
        <v>22</v>
      </c>
      <c r="BA24" s="466">
        <f t="shared" si="13"/>
        <v>22</v>
      </c>
      <c r="BB24" s="465">
        <f t="shared" si="14"/>
        <v>16</v>
      </c>
      <c r="BC24" s="425" t="str">
        <f t="shared" si="15"/>
        <v>e</v>
      </c>
      <c r="BD24" s="464">
        <f t="shared" si="16"/>
        <v>-0.33683245300000003</v>
      </c>
      <c r="BE24" s="423"/>
      <c r="BF24" s="480" t="str">
        <v>-</v>
      </c>
      <c r="BG24" s="470" t="str">
        <v>-</v>
      </c>
      <c r="BH24" s="426"/>
      <c r="BI24" s="510" t="s">
        <v>1079</v>
      </c>
      <c r="BJ24" s="473">
        <f>_xll.RtGet($BN$7,$BN$8&amp;BI24&amp;$BN$9,$BJ$7)</f>
        <v>-0.34611951700000004</v>
      </c>
      <c r="BK24" s="474">
        <f>_xll.RtGet($BN$7,$BN$8&amp;BI24&amp;$BN$9,$BK$7)</f>
        <v>-0.34611951700000004</v>
      </c>
      <c r="BL24" s="426"/>
      <c r="BM24" s="426"/>
      <c r="BN24" s="426"/>
      <c r="BO24" s="421"/>
      <c r="BP24" s="644"/>
      <c r="BQ24" s="645"/>
      <c r="BR24" s="645"/>
      <c r="BS24" s="645"/>
      <c r="BT24" s="645"/>
      <c r="BU24" s="645"/>
      <c r="BV24" s="645"/>
      <c r="BW24" s="645"/>
      <c r="BX24" s="645"/>
      <c r="BY24" s="645"/>
      <c r="BZ24" s="645"/>
      <c r="CA24" s="645"/>
      <c r="CB24" s="645"/>
      <c r="CC24" s="645"/>
      <c r="CD24" s="645"/>
      <c r="CE24" s="645"/>
      <c r="CF24" s="645"/>
      <c r="CG24" s="645"/>
      <c r="CH24" s="645"/>
      <c r="CI24" s="645"/>
      <c r="CJ24" s="645"/>
      <c r="CK24" s="645"/>
      <c r="CL24" s="645"/>
      <c r="CM24" s="645"/>
      <c r="CN24" s="645"/>
      <c r="CO24" s="645"/>
      <c r="CP24" s="645"/>
      <c r="CQ24" s="645"/>
      <c r="CR24" s="645"/>
      <c r="CS24" s="645"/>
      <c r="CT24" s="645"/>
      <c r="CU24" s="645"/>
      <c r="CV24" s="645"/>
      <c r="CW24" s="645"/>
      <c r="CX24" s="645"/>
      <c r="CY24" s="645"/>
      <c r="CZ24" s="645"/>
      <c r="DA24" s="645"/>
      <c r="DB24" s="645"/>
      <c r="DC24" s="645"/>
      <c r="DD24" s="645"/>
      <c r="DE24" s="645"/>
      <c r="DF24" s="645"/>
      <c r="DG24" s="645"/>
      <c r="DH24" s="645"/>
      <c r="DI24" s="645"/>
      <c r="DJ24" s="645"/>
      <c r="DK24" s="645"/>
      <c r="DL24" s="645"/>
      <c r="DM24" s="645"/>
      <c r="DN24" s="645"/>
      <c r="DO24" s="645"/>
      <c r="DP24" s="645"/>
      <c r="DQ24" s="645"/>
      <c r="DR24" s="645"/>
      <c r="DS24" s="645"/>
      <c r="DT24" s="645"/>
      <c r="DU24" s="645"/>
      <c r="DV24" s="645"/>
      <c r="DW24" s="645"/>
      <c r="DX24" s="645"/>
      <c r="DY24" s="645"/>
      <c r="DZ24" s="645"/>
    </row>
    <row r="25" spans="1:130">
      <c r="A25" s="428"/>
      <c r="B25" s="1016" t="s">
        <v>59</v>
      </c>
      <c r="C25" s="1017"/>
      <c r="D25" s="423"/>
      <c r="E25" s="545" t="s">
        <v>998</v>
      </c>
      <c r="F25" s="546"/>
      <c r="G25" s="430" t="s">
        <v>1080</v>
      </c>
      <c r="H25" s="423"/>
      <c r="I25" s="545" t="s">
        <v>999</v>
      </c>
      <c r="J25" s="545" t="s">
        <v>1000</v>
      </c>
      <c r="K25" s="545" t="s">
        <v>1001</v>
      </c>
      <c r="L25" s="545" t="s">
        <v>1002</v>
      </c>
      <c r="M25" s="423"/>
      <c r="N25" s="425"/>
      <c r="O25" s="423"/>
      <c r="P25" s="425"/>
      <c r="Q25" s="423"/>
      <c r="R25" s="423"/>
      <c r="S25" s="547">
        <f t="array" ref="S25">SUM(1*E26:E37)</f>
        <v>6</v>
      </c>
      <c r="T25" s="423"/>
      <c r="U25" s="469">
        <v>44000</v>
      </c>
      <c r="V25" s="470">
        <v>1.0030302168667777</v>
      </c>
      <c r="W25" s="426"/>
      <c r="X25" s="497" t="s">
        <v>1074</v>
      </c>
      <c r="Y25" s="438" t="s">
        <v>1081</v>
      </c>
      <c r="Z25" s="439" t="s">
        <v>1082</v>
      </c>
      <c r="AA25" s="423"/>
      <c r="AB25" s="423"/>
      <c r="AC25" s="423"/>
      <c r="AD25" s="440" t="s">
        <v>1007</v>
      </c>
      <c r="AE25" s="441" t="s">
        <v>1083</v>
      </c>
      <c r="AF25" s="426"/>
      <c r="AG25" s="434" t="s">
        <v>1084</v>
      </c>
      <c r="AH25" s="435"/>
      <c r="AI25" s="426"/>
      <c r="AJ25" s="475" t="s">
        <v>63</v>
      </c>
      <c r="AK25" s="426"/>
      <c r="AL25" s="422"/>
      <c r="AM25" s="423"/>
      <c r="AN25" s="423"/>
      <c r="AO25" s="423"/>
      <c r="AP25" s="478" t="b">
        <v>1</v>
      </c>
      <c r="AQ25" s="509" t="str">
        <f t="shared" si="19"/>
        <v>17M</v>
      </c>
      <c r="AR25" s="465">
        <f t="shared" si="10"/>
        <v>17</v>
      </c>
      <c r="AS25" s="466" t="s">
        <v>1071</v>
      </c>
      <c r="AT25" s="461">
        <f t="shared" si="20"/>
        <v>-0.33120223300000001</v>
      </c>
      <c r="AU25" s="462"/>
      <c r="AV25" s="463"/>
      <c r="AW25" s="464">
        <f t="shared" si="11"/>
        <v>-0.33120223300000001</v>
      </c>
      <c r="AX25" s="465">
        <f t="shared" si="17"/>
        <v>23</v>
      </c>
      <c r="AY25" s="466">
        <f t="shared" si="12"/>
        <v>23</v>
      </c>
      <c r="AZ25" s="465">
        <f t="shared" si="18"/>
        <v>23</v>
      </c>
      <c r="BA25" s="466">
        <f t="shared" si="13"/>
        <v>23</v>
      </c>
      <c r="BB25" s="465">
        <f t="shared" si="14"/>
        <v>17</v>
      </c>
      <c r="BC25" s="425" t="str">
        <f t="shared" si="15"/>
        <v>e</v>
      </c>
      <c r="BD25" s="464">
        <f t="shared" si="16"/>
        <v>-0.33120223300000001</v>
      </c>
      <c r="BE25" s="423"/>
      <c r="BF25" s="480" t="str">
        <v>-</v>
      </c>
      <c r="BG25" s="470" t="str">
        <v>-</v>
      </c>
      <c r="BH25" s="426"/>
      <c r="BI25" s="510" t="s">
        <v>1085</v>
      </c>
      <c r="BJ25" s="473">
        <f>_xll.RtGet($BN$7,$BN$8&amp;BI25&amp;$BN$9,$BJ$7)</f>
        <v>-0.34200000000000003</v>
      </c>
      <c r="BK25" s="474">
        <f>_xll.RtGet($BN$7,$BN$8&amp;BI25&amp;$BN$9,$BK$7)</f>
        <v>-0.34200000000000003</v>
      </c>
      <c r="BL25" s="423"/>
      <c r="BM25" s="426"/>
      <c r="BN25" s="426"/>
      <c r="BO25" s="421"/>
      <c r="BP25" s="644"/>
      <c r="BQ25" s="645"/>
      <c r="BR25" s="645"/>
      <c r="BS25" s="645"/>
      <c r="BT25" s="645"/>
      <c r="BU25" s="645"/>
      <c r="BV25" s="645"/>
      <c r="BW25" s="645"/>
      <c r="BX25" s="645"/>
      <c r="BY25" s="645"/>
      <c r="BZ25" s="645"/>
      <c r="CA25" s="645"/>
      <c r="CB25" s="645"/>
      <c r="CC25" s="645"/>
      <c r="CD25" s="645"/>
      <c r="CE25" s="645"/>
      <c r="CF25" s="645"/>
      <c r="CG25" s="645"/>
      <c r="CH25" s="645"/>
      <c r="CI25" s="645"/>
      <c r="CJ25" s="645"/>
      <c r="CK25" s="645"/>
      <c r="CL25" s="645"/>
      <c r="CM25" s="645"/>
      <c r="CN25" s="645"/>
      <c r="CO25" s="645"/>
      <c r="CP25" s="645"/>
      <c r="CQ25" s="645"/>
      <c r="CR25" s="645"/>
      <c r="CS25" s="645"/>
      <c r="CT25" s="645"/>
      <c r="CU25" s="645"/>
      <c r="CV25" s="645"/>
      <c r="CW25" s="645"/>
      <c r="CX25" s="645"/>
      <c r="CY25" s="645"/>
      <c r="CZ25" s="645"/>
      <c r="DA25" s="645"/>
      <c r="DB25" s="645"/>
      <c r="DC25" s="645"/>
      <c r="DD25" s="645"/>
      <c r="DE25" s="645"/>
      <c r="DF25" s="645"/>
      <c r="DG25" s="645"/>
      <c r="DH25" s="645"/>
      <c r="DI25" s="645"/>
      <c r="DJ25" s="645"/>
      <c r="DK25" s="645"/>
      <c r="DL25" s="645"/>
      <c r="DM25" s="645"/>
      <c r="DN25" s="645"/>
      <c r="DO25" s="645"/>
      <c r="DP25" s="645"/>
      <c r="DQ25" s="645"/>
      <c r="DR25" s="645"/>
      <c r="DS25" s="645"/>
      <c r="DT25" s="645"/>
      <c r="DU25" s="645"/>
      <c r="DV25" s="645"/>
      <c r="DW25" s="645"/>
      <c r="DX25" s="645"/>
      <c r="DY25" s="645"/>
      <c r="DZ25" s="645"/>
    </row>
    <row r="26" spans="1:130">
      <c r="A26" s="428"/>
      <c r="B26" s="476" t="s">
        <v>1086</v>
      </c>
      <c r="C26" s="548">
        <v>43175</v>
      </c>
      <c r="D26" s="549"/>
      <c r="E26" s="490" t="b">
        <f>IF(H26&lt;MxStubMat,FALSE,TRUE)</f>
        <v>0</v>
      </c>
      <c r="F26" s="550" t="str">
        <f t="shared" ref="F26:F36" si="21">iText(H26,"mmm yy")</f>
        <v>Mar 18</v>
      </c>
      <c r="G26" s="551" t="str">
        <f>_xll.xlFutCode(H26)</f>
        <v>H8</v>
      </c>
      <c r="H26" s="552">
        <f>_xll.xlDateNextFutLIFFE(C26)</f>
        <v>43180</v>
      </c>
      <c r="I26" s="446">
        <f t="shared" ref="I26:I36" si="22">AVERAGE(Y30:Z30)</f>
        <v>100.3275</v>
      </c>
      <c r="J26" s="537"/>
      <c r="K26" s="553">
        <f>AA30</f>
        <v>1.25E-4</v>
      </c>
      <c r="L26" s="537">
        <f t="shared" ref="L26:L36" si="23">IF(ISNUMBER(J26),J26,I26)+K26</f>
        <v>100.327625</v>
      </c>
      <c r="M26" s="450">
        <v>1</v>
      </c>
      <c r="N26" s="451" t="str">
        <f t="shared" ref="N26:N36" si="24">IF(E26,M26,"")</f>
        <v/>
      </c>
      <c r="O26" s="430">
        <f>IF($S$25&gt;0,1,"")</f>
        <v>1</v>
      </c>
      <c r="P26" s="451">
        <f t="shared" ref="P26:P36" si="25">IF(LEN(O26)&gt;0,SMALL($N$26:$N$36,O26),"")</f>
        <v>4</v>
      </c>
      <c r="Q26" s="417"/>
      <c r="R26" s="518">
        <f>IF(LEN(P26)&gt;0,INDEX($H$26:$H$37,$P26),"")</f>
        <v>43453</v>
      </c>
      <c r="S26" s="449">
        <f t="shared" ref="S26:S35" si="26">IF(LEN(P26)&gt;0,INDEX($L$26:$L$37,$P26),"")</f>
        <v>100.292975</v>
      </c>
      <c r="T26" s="423"/>
      <c r="U26" s="469">
        <v>44277</v>
      </c>
      <c r="V26" s="470">
        <v>0.99879777837029471</v>
      </c>
      <c r="W26" s="426"/>
      <c r="X26" s="517" t="s">
        <v>75</v>
      </c>
      <c r="Y26" s="529">
        <f>_xll.RtGet($AE$25,$AE$26&amp;$X26&amp;$AE$27,"BID")</f>
        <v>-0.27200000000000002</v>
      </c>
      <c r="Z26" s="554">
        <f>_xll.RtGet($AE$25,$AE$26&amp;$X26&amp;$AE$27,Z25)</f>
        <v>43175</v>
      </c>
      <c r="AA26" s="423"/>
      <c r="AB26" s="423"/>
      <c r="AC26" s="423"/>
      <c r="AD26" s="458" t="s">
        <v>1013</v>
      </c>
      <c r="AE26" s="459" t="s">
        <v>1087</v>
      </c>
      <c r="AF26" s="555"/>
      <c r="AG26" s="456" t="s">
        <v>1088</v>
      </c>
      <c r="AH26" s="456">
        <v>0</v>
      </c>
      <c r="AI26" s="426"/>
      <c r="AJ26" s="493" t="s">
        <v>1089</v>
      </c>
      <c r="AK26" s="426"/>
      <c r="AL26" s="422"/>
      <c r="AM26" s="423"/>
      <c r="AN26" s="423"/>
      <c r="AO26" s="423"/>
      <c r="AP26" s="478" t="b">
        <v>1</v>
      </c>
      <c r="AQ26" s="509" t="str">
        <f t="shared" si="19"/>
        <v>18M</v>
      </c>
      <c r="AR26" s="465">
        <f t="shared" si="10"/>
        <v>18</v>
      </c>
      <c r="AS26" s="466" t="s">
        <v>1071</v>
      </c>
      <c r="AT26" s="461">
        <f t="shared" si="20"/>
        <v>-0.32400000000000001</v>
      </c>
      <c r="AU26" s="462"/>
      <c r="AV26" s="463"/>
      <c r="AW26" s="464">
        <f t="shared" si="11"/>
        <v>-0.32400000000000001</v>
      </c>
      <c r="AX26" s="465">
        <f t="shared" si="17"/>
        <v>24</v>
      </c>
      <c r="AY26" s="466">
        <f t="shared" si="12"/>
        <v>24</v>
      </c>
      <c r="AZ26" s="465">
        <f t="shared" si="18"/>
        <v>24</v>
      </c>
      <c r="BA26" s="466">
        <f t="shared" si="13"/>
        <v>24</v>
      </c>
      <c r="BB26" s="465">
        <f t="shared" si="14"/>
        <v>18</v>
      </c>
      <c r="BC26" s="425" t="str">
        <f t="shared" si="15"/>
        <v>e</v>
      </c>
      <c r="BD26" s="464">
        <f t="shared" si="16"/>
        <v>-0.32400000000000001</v>
      </c>
      <c r="BE26" s="423"/>
      <c r="BF26" s="480" t="str">
        <v>-</v>
      </c>
      <c r="BG26" s="470" t="str">
        <v>-</v>
      </c>
      <c r="BH26" s="426"/>
      <c r="BI26" s="510" t="s">
        <v>1090</v>
      </c>
      <c r="BJ26" s="473">
        <f>_xll.RtGet($BN$7,$BN$8&amp;BI26&amp;$BN$9,$BJ$7)</f>
        <v>-0.33683245300000003</v>
      </c>
      <c r="BK26" s="474">
        <f>_xll.RtGet($BN$7,$BN$8&amp;BI26&amp;$BN$9,$BK$7)</f>
        <v>-0.33683245300000003</v>
      </c>
      <c r="BL26" s="423"/>
      <c r="BM26" s="426"/>
      <c r="BN26" s="426"/>
      <c r="BO26" s="421"/>
      <c r="BP26" s="644"/>
      <c r="BQ26" s="645"/>
      <c r="BR26" s="645"/>
      <c r="BS26" s="645"/>
      <c r="BT26" s="645"/>
      <c r="BU26" s="645"/>
      <c r="BV26" s="645"/>
      <c r="BW26" s="645"/>
      <c r="BX26" s="645"/>
      <c r="BY26" s="645"/>
      <c r="BZ26" s="645"/>
      <c r="CA26" s="645"/>
      <c r="CB26" s="645"/>
      <c r="CC26" s="645"/>
      <c r="CD26" s="645"/>
      <c r="CE26" s="645"/>
      <c r="CF26" s="645"/>
      <c r="CG26" s="645"/>
      <c r="CH26" s="645"/>
      <c r="CI26" s="645"/>
      <c r="CJ26" s="645"/>
      <c r="CK26" s="645"/>
      <c r="CL26" s="645"/>
      <c r="CM26" s="645"/>
      <c r="CN26" s="645"/>
      <c r="CO26" s="645"/>
      <c r="CP26" s="645"/>
      <c r="CQ26" s="645"/>
      <c r="CR26" s="645"/>
      <c r="CS26" s="645"/>
      <c r="CT26" s="645"/>
      <c r="CU26" s="645"/>
      <c r="CV26" s="645"/>
      <c r="CW26" s="645"/>
      <c r="CX26" s="645"/>
      <c r="CY26" s="645"/>
      <c r="CZ26" s="645"/>
      <c r="DA26" s="645"/>
      <c r="DB26" s="645"/>
      <c r="DC26" s="645"/>
      <c r="DD26" s="645"/>
      <c r="DE26" s="645"/>
      <c r="DF26" s="645"/>
      <c r="DG26" s="645"/>
      <c r="DH26" s="645"/>
      <c r="DI26" s="645"/>
      <c r="DJ26" s="645"/>
      <c r="DK26" s="645"/>
      <c r="DL26" s="645"/>
      <c r="DM26" s="645"/>
      <c r="DN26" s="645"/>
      <c r="DO26" s="645"/>
      <c r="DP26" s="645"/>
      <c r="DQ26" s="645"/>
      <c r="DR26" s="645"/>
      <c r="DS26" s="645"/>
      <c r="DT26" s="645"/>
      <c r="DU26" s="645"/>
      <c r="DV26" s="645"/>
      <c r="DW26" s="645"/>
      <c r="DX26" s="645"/>
      <c r="DY26" s="645"/>
      <c r="DZ26" s="645"/>
    </row>
    <row r="27" spans="1:130">
      <c r="A27" s="428"/>
      <c r="B27" s="484" t="s">
        <v>1091</v>
      </c>
      <c r="C27" s="556">
        <f>_xll.xlDateSettle("Target",C26,2)</f>
        <v>43179</v>
      </c>
      <c r="D27" s="549"/>
      <c r="E27" s="443" t="b">
        <f>IF(H27&lt;MxStubMat,FALSE,TRUE)</f>
        <v>0</v>
      </c>
      <c r="F27" s="557" t="str">
        <f t="shared" si="21"/>
        <v>Jun 18</v>
      </c>
      <c r="G27" s="558" t="str">
        <f>_xll.xlFutCode(H27)</f>
        <v>M8</v>
      </c>
      <c r="H27" s="559">
        <f>_xll.xlDateNextFutLIFFE(H26)</f>
        <v>43271</v>
      </c>
      <c r="I27" s="461">
        <f t="shared" si="22"/>
        <v>100.31750000000001</v>
      </c>
      <c r="J27" s="560"/>
      <c r="K27" s="561">
        <f t="shared" ref="K27:K36" si="27">AA31</f>
        <v>1.5000000000000001E-4</v>
      </c>
      <c r="L27" s="560">
        <f t="shared" si="23"/>
        <v>100.31765000000001</v>
      </c>
      <c r="M27" s="465">
        <f t="shared" ref="M27:M36" si="28">M26+1</f>
        <v>2</v>
      </c>
      <c r="N27" s="466" t="str">
        <f t="shared" si="24"/>
        <v/>
      </c>
      <c r="O27" s="465">
        <f t="shared" ref="O27:O36" si="29">IF(O26&lt;$S$25,O26+1,"")</f>
        <v>2</v>
      </c>
      <c r="P27" s="466">
        <f t="shared" si="25"/>
        <v>5</v>
      </c>
      <c r="Q27" s="423"/>
      <c r="R27" s="520">
        <f t="shared" ref="R27:R36" si="30">IF(LEN(P27)&gt;0,INDEX($H$26:$H$37,$P27),"")</f>
        <v>43544</v>
      </c>
      <c r="S27" s="464">
        <f t="shared" si="26"/>
        <v>100.24875</v>
      </c>
      <c r="T27" s="423"/>
      <c r="U27" s="469">
        <v>44641</v>
      </c>
      <c r="V27" s="470">
        <v>0.99059644857044793</v>
      </c>
      <c r="W27" s="426"/>
      <c r="X27" s="423"/>
      <c r="Y27" s="423"/>
      <c r="Z27" s="423"/>
      <c r="AA27" s="423"/>
      <c r="AB27" s="423"/>
      <c r="AC27" s="423"/>
      <c r="AD27" s="511" t="s">
        <v>1022</v>
      </c>
      <c r="AE27" s="512" t="s">
        <v>1025</v>
      </c>
      <c r="AF27" s="555"/>
      <c r="AG27" s="493" t="s">
        <v>1092</v>
      </c>
      <c r="AH27" s="493">
        <v>1</v>
      </c>
      <c r="AI27" s="426"/>
      <c r="AJ27" s="426"/>
      <c r="AK27" s="426"/>
      <c r="AL27" s="422"/>
      <c r="AM27" s="423"/>
      <c r="AN27" s="423"/>
      <c r="AO27" s="423"/>
      <c r="AP27" s="478" t="b">
        <v>1</v>
      </c>
      <c r="AQ27" s="509" t="str">
        <f t="shared" si="19"/>
        <v>19M</v>
      </c>
      <c r="AR27" s="465">
        <f t="shared" si="10"/>
        <v>19</v>
      </c>
      <c r="AS27" s="466" t="s">
        <v>1071</v>
      </c>
      <c r="AT27" s="461">
        <f t="shared" si="20"/>
        <v>-0.315472066</v>
      </c>
      <c r="AU27" s="462"/>
      <c r="AV27" s="463"/>
      <c r="AW27" s="464">
        <f t="shared" si="11"/>
        <v>-0.315472066</v>
      </c>
      <c r="AX27" s="465">
        <f t="shared" si="17"/>
        <v>25</v>
      </c>
      <c r="AY27" s="466">
        <f t="shared" si="12"/>
        <v>25</v>
      </c>
      <c r="AZ27" s="465">
        <f t="shared" si="18"/>
        <v>25</v>
      </c>
      <c r="BA27" s="466">
        <f t="shared" si="13"/>
        <v>25</v>
      </c>
      <c r="BB27" s="465">
        <f t="shared" si="14"/>
        <v>19</v>
      </c>
      <c r="BC27" s="425" t="str">
        <f t="shared" si="15"/>
        <v>e</v>
      </c>
      <c r="BD27" s="464">
        <f t="shared" si="16"/>
        <v>-0.315472066</v>
      </c>
      <c r="BE27" s="423"/>
      <c r="BF27" s="480" t="str">
        <v>-</v>
      </c>
      <c r="BG27" s="470" t="str">
        <v>-</v>
      </c>
      <c r="BH27" s="426"/>
      <c r="BI27" s="510" t="s">
        <v>1093</v>
      </c>
      <c r="BJ27" s="473">
        <f>_xll.RtGet($BN$7,$BN$8&amp;BI27&amp;$BN$9,$BJ$7)</f>
        <v>-0.33120223300000001</v>
      </c>
      <c r="BK27" s="474">
        <f>_xll.RtGet($BN$7,$BN$8&amp;BI27&amp;$BN$9,$BK$7)</f>
        <v>-0.33120223300000001</v>
      </c>
      <c r="BL27" s="423"/>
      <c r="BM27" s="426"/>
      <c r="BN27" s="426"/>
      <c r="BO27" s="421"/>
      <c r="BP27" s="644"/>
      <c r="BQ27" s="645"/>
      <c r="BR27" s="645"/>
      <c r="BS27" s="645"/>
      <c r="BT27" s="645"/>
      <c r="BU27" s="645"/>
      <c r="BV27" s="645"/>
      <c r="BW27" s="645"/>
      <c r="BX27" s="645"/>
      <c r="BY27" s="645"/>
      <c r="BZ27" s="645"/>
      <c r="CA27" s="645"/>
      <c r="CB27" s="645"/>
      <c r="CC27" s="645"/>
      <c r="CD27" s="645"/>
      <c r="CE27" s="645"/>
      <c r="CF27" s="645"/>
      <c r="CG27" s="645"/>
      <c r="CH27" s="645"/>
      <c r="CI27" s="645"/>
      <c r="CJ27" s="645"/>
      <c r="CK27" s="645"/>
      <c r="CL27" s="645"/>
      <c r="CM27" s="645"/>
      <c r="CN27" s="645"/>
      <c r="CO27" s="645"/>
      <c r="CP27" s="645"/>
      <c r="CQ27" s="645"/>
      <c r="CR27" s="645"/>
      <c r="CS27" s="645"/>
      <c r="CT27" s="645"/>
      <c r="CU27" s="645"/>
      <c r="CV27" s="645"/>
      <c r="CW27" s="645"/>
      <c r="CX27" s="645"/>
      <c r="CY27" s="645"/>
      <c r="CZ27" s="645"/>
      <c r="DA27" s="645"/>
      <c r="DB27" s="645"/>
      <c r="DC27" s="645"/>
      <c r="DD27" s="645"/>
      <c r="DE27" s="645"/>
      <c r="DF27" s="645"/>
      <c r="DG27" s="645"/>
      <c r="DH27" s="645"/>
      <c r="DI27" s="645"/>
      <c r="DJ27" s="645"/>
      <c r="DK27" s="645"/>
      <c r="DL27" s="645"/>
      <c r="DM27" s="645"/>
      <c r="DN27" s="645"/>
      <c r="DO27" s="645"/>
      <c r="DP27" s="645"/>
      <c r="DQ27" s="645"/>
      <c r="DR27" s="645"/>
      <c r="DS27" s="645"/>
      <c r="DT27" s="645"/>
      <c r="DU27" s="645"/>
      <c r="DV27" s="645"/>
      <c r="DW27" s="645"/>
      <c r="DX27" s="645"/>
      <c r="DY27" s="645"/>
      <c r="DZ27" s="645"/>
    </row>
    <row r="28" spans="1:130">
      <c r="A28" s="428"/>
      <c r="B28" s="484" t="s">
        <v>1094</v>
      </c>
      <c r="C28" s="562" t="s">
        <v>60</v>
      </c>
      <c r="D28" s="549"/>
      <c r="E28" s="443" t="b">
        <f>IF(H28&lt;MxStubMat,FALSE,TRUE)</f>
        <v>0</v>
      </c>
      <c r="F28" s="557" t="str">
        <f t="shared" si="21"/>
        <v>Sep 18</v>
      </c>
      <c r="G28" s="558" t="str">
        <f>_xll.xlFutCode(H28)</f>
        <v>U8</v>
      </c>
      <c r="H28" s="559">
        <f>_xll.xlDateNextFutLIFFE(H27)</f>
        <v>43362</v>
      </c>
      <c r="I28" s="461">
        <f t="shared" si="22"/>
        <v>100.3125</v>
      </c>
      <c r="J28" s="560"/>
      <c r="K28" s="561">
        <f t="shared" si="27"/>
        <v>2.5000000000000001E-4</v>
      </c>
      <c r="L28" s="560">
        <f t="shared" si="23"/>
        <v>100.31274999999999</v>
      </c>
      <c r="M28" s="465">
        <f t="shared" si="28"/>
        <v>3</v>
      </c>
      <c r="N28" s="466" t="str">
        <f t="shared" si="24"/>
        <v/>
      </c>
      <c r="O28" s="465">
        <f t="shared" si="29"/>
        <v>3</v>
      </c>
      <c r="P28" s="466">
        <f t="shared" si="25"/>
        <v>6</v>
      </c>
      <c r="Q28" s="423"/>
      <c r="R28" s="520">
        <f t="shared" si="30"/>
        <v>43635</v>
      </c>
      <c r="S28" s="464">
        <f t="shared" si="26"/>
        <v>100.15925</v>
      </c>
      <c r="T28" s="423"/>
      <c r="U28" s="469">
        <v>45005</v>
      </c>
      <c r="V28" s="470">
        <v>0.97953530072980233</v>
      </c>
      <c r="W28" s="426"/>
      <c r="X28" s="423"/>
      <c r="Y28" s="423"/>
      <c r="Z28" s="423"/>
      <c r="AA28" s="423"/>
      <c r="AB28" s="423"/>
      <c r="AC28" s="423"/>
      <c r="AD28" s="423"/>
      <c r="AE28" s="423"/>
      <c r="AF28" s="555"/>
      <c r="AG28" s="426"/>
      <c r="AH28" s="426"/>
      <c r="AI28" s="426"/>
      <c r="AJ28" s="436" t="s">
        <v>1095</v>
      </c>
      <c r="AK28" s="426"/>
      <c r="AL28" s="422"/>
      <c r="AM28" s="423"/>
      <c r="AN28" s="423"/>
      <c r="AO28" s="423"/>
      <c r="AP28" s="478" t="b">
        <v>1</v>
      </c>
      <c r="AQ28" s="509" t="str">
        <f t="shared" si="19"/>
        <v>20M</v>
      </c>
      <c r="AR28" s="465">
        <f t="shared" si="10"/>
        <v>20</v>
      </c>
      <c r="AS28" s="466" t="s">
        <v>1071</v>
      </c>
      <c r="AT28" s="461">
        <f t="shared" si="20"/>
        <v>-0.306140466</v>
      </c>
      <c r="AU28" s="462"/>
      <c r="AV28" s="463"/>
      <c r="AW28" s="464">
        <f t="shared" si="11"/>
        <v>-0.306140466</v>
      </c>
      <c r="AX28" s="465">
        <f t="shared" si="17"/>
        <v>26</v>
      </c>
      <c r="AY28" s="466">
        <f t="shared" si="12"/>
        <v>26</v>
      </c>
      <c r="AZ28" s="465">
        <f t="shared" si="18"/>
        <v>26</v>
      </c>
      <c r="BA28" s="466">
        <f t="shared" si="13"/>
        <v>26</v>
      </c>
      <c r="BB28" s="465">
        <f t="shared" si="14"/>
        <v>20</v>
      </c>
      <c r="BC28" s="425" t="str">
        <f t="shared" si="15"/>
        <v>e</v>
      </c>
      <c r="BD28" s="464">
        <f t="shared" si="16"/>
        <v>-0.306140466</v>
      </c>
      <c r="BE28" s="423"/>
      <c r="BF28" s="480" t="str">
        <v>-</v>
      </c>
      <c r="BG28" s="470" t="str">
        <v>-</v>
      </c>
      <c r="BH28" s="426"/>
      <c r="BI28" s="510" t="s">
        <v>1096</v>
      </c>
      <c r="BJ28" s="473">
        <f>_xll.RtGet($BN$7,$BN$8&amp;BI28&amp;$BN$9,$BJ$7)</f>
        <v>-0.32400000000000001</v>
      </c>
      <c r="BK28" s="474">
        <f>_xll.RtGet($BN$7,$BN$8&amp;BI28&amp;$BN$9,$BK$7)</f>
        <v>-0.32400000000000001</v>
      </c>
      <c r="BL28" s="423"/>
      <c r="BM28" s="426"/>
      <c r="BN28" s="426"/>
      <c r="BO28" s="421"/>
      <c r="BP28" s="644"/>
      <c r="BQ28" s="645"/>
      <c r="BR28" s="645"/>
      <c r="BS28" s="645"/>
      <c r="BT28" s="645"/>
      <c r="BU28" s="645"/>
      <c r="BV28" s="645"/>
      <c r="BW28" s="645"/>
      <c r="BX28" s="645"/>
      <c r="BY28" s="645"/>
      <c r="BZ28" s="645"/>
      <c r="CA28" s="645"/>
      <c r="CB28" s="645"/>
      <c r="CC28" s="645"/>
      <c r="CD28" s="645"/>
      <c r="CE28" s="645"/>
      <c r="CF28" s="645"/>
      <c r="CG28" s="645"/>
      <c r="CH28" s="645"/>
      <c r="CI28" s="645"/>
      <c r="CJ28" s="645"/>
      <c r="CK28" s="645"/>
      <c r="CL28" s="645"/>
      <c r="CM28" s="645"/>
      <c r="CN28" s="645"/>
      <c r="CO28" s="645"/>
      <c r="CP28" s="645"/>
      <c r="CQ28" s="645"/>
      <c r="CR28" s="645"/>
      <c r="CS28" s="645"/>
      <c r="CT28" s="645"/>
      <c r="CU28" s="645"/>
      <c r="CV28" s="645"/>
      <c r="CW28" s="645"/>
      <c r="CX28" s="645"/>
      <c r="CY28" s="645"/>
      <c r="CZ28" s="645"/>
      <c r="DA28" s="645"/>
      <c r="DB28" s="645"/>
      <c r="DC28" s="645"/>
      <c r="DD28" s="645"/>
      <c r="DE28" s="645"/>
      <c r="DF28" s="645"/>
      <c r="DG28" s="645"/>
      <c r="DH28" s="645"/>
      <c r="DI28" s="645"/>
      <c r="DJ28" s="645"/>
      <c r="DK28" s="645"/>
      <c r="DL28" s="645"/>
      <c r="DM28" s="645"/>
      <c r="DN28" s="645"/>
      <c r="DO28" s="645"/>
      <c r="DP28" s="645"/>
      <c r="DQ28" s="645"/>
      <c r="DR28" s="645"/>
      <c r="DS28" s="645"/>
      <c r="DT28" s="645"/>
      <c r="DU28" s="645"/>
      <c r="DV28" s="645"/>
      <c r="DW28" s="645"/>
      <c r="DX28" s="645"/>
      <c r="DY28" s="645"/>
      <c r="DZ28" s="645"/>
    </row>
    <row r="29" spans="1:130">
      <c r="A29" s="428"/>
      <c r="B29" s="563" t="s">
        <v>1097</v>
      </c>
      <c r="C29" s="564"/>
      <c r="D29" s="549"/>
      <c r="E29" s="443" t="b">
        <f>IF(H29&lt;MxStubMat,FALSE,TRUE)</f>
        <v>1</v>
      </c>
      <c r="F29" s="557" t="str">
        <f t="shared" si="21"/>
        <v>Dec 18</v>
      </c>
      <c r="G29" s="558" t="str">
        <f>_xll.xlFutCode(H29)</f>
        <v>Z8</v>
      </c>
      <c r="H29" s="559">
        <f>_xll.xlDateNextFutLIFFE(H28)</f>
        <v>43453</v>
      </c>
      <c r="I29" s="461">
        <f t="shared" si="22"/>
        <v>100.2925</v>
      </c>
      <c r="J29" s="560"/>
      <c r="K29" s="561">
        <f t="shared" si="27"/>
        <v>4.75E-4</v>
      </c>
      <c r="L29" s="560">
        <f t="shared" si="23"/>
        <v>100.292975</v>
      </c>
      <c r="M29" s="465">
        <f t="shared" si="28"/>
        <v>4</v>
      </c>
      <c r="N29" s="466">
        <f t="shared" si="24"/>
        <v>4</v>
      </c>
      <c r="O29" s="465">
        <f t="shared" si="29"/>
        <v>4</v>
      </c>
      <c r="P29" s="466">
        <f t="shared" si="25"/>
        <v>7</v>
      </c>
      <c r="Q29" s="423"/>
      <c r="R29" s="520">
        <f t="shared" si="30"/>
        <v>43726</v>
      </c>
      <c r="S29" s="464">
        <f t="shared" si="26"/>
        <v>100.04975</v>
      </c>
      <c r="T29" s="423"/>
      <c r="U29" s="469">
        <v>45371</v>
      </c>
      <c r="V29" s="470">
        <v>0.96652223113478808</v>
      </c>
      <c r="W29" s="426"/>
      <c r="X29" s="431" t="s">
        <v>1098</v>
      </c>
      <c r="Y29" s="565" t="s">
        <v>16</v>
      </c>
      <c r="Z29" s="566" t="s">
        <v>17</v>
      </c>
      <c r="AA29" s="566" t="s">
        <v>1099</v>
      </c>
      <c r="AB29" s="433" t="s">
        <v>1100</v>
      </c>
      <c r="AC29" s="423"/>
      <c r="AD29" s="440" t="s">
        <v>1007</v>
      </c>
      <c r="AE29" s="441" t="s">
        <v>1008</v>
      </c>
      <c r="AF29" s="555"/>
      <c r="AG29" s="426"/>
      <c r="AH29" s="420"/>
      <c r="AI29" s="426"/>
      <c r="AJ29" s="475" t="s">
        <v>62</v>
      </c>
      <c r="AK29" s="426"/>
      <c r="AL29" s="422"/>
      <c r="AM29" s="423"/>
      <c r="AN29" s="423"/>
      <c r="AO29" s="423"/>
      <c r="AP29" s="478" t="b">
        <v>1</v>
      </c>
      <c r="AQ29" s="509" t="str">
        <f t="shared" si="19"/>
        <v>21M</v>
      </c>
      <c r="AR29" s="465">
        <f t="shared" si="10"/>
        <v>21</v>
      </c>
      <c r="AS29" s="466" t="s">
        <v>1071</v>
      </c>
      <c r="AT29" s="461">
        <f t="shared" si="20"/>
        <v>-0.29599999999999999</v>
      </c>
      <c r="AU29" s="462"/>
      <c r="AV29" s="463"/>
      <c r="AW29" s="464">
        <f t="shared" si="11"/>
        <v>-0.29599999999999999</v>
      </c>
      <c r="AX29" s="465">
        <f t="shared" si="17"/>
        <v>27</v>
      </c>
      <c r="AY29" s="466">
        <f t="shared" si="12"/>
        <v>27</v>
      </c>
      <c r="AZ29" s="465">
        <f t="shared" si="18"/>
        <v>27</v>
      </c>
      <c r="BA29" s="466">
        <f t="shared" si="13"/>
        <v>27</v>
      </c>
      <c r="BB29" s="465">
        <f t="shared" si="14"/>
        <v>21</v>
      </c>
      <c r="BC29" s="425" t="str">
        <f t="shared" si="15"/>
        <v>e</v>
      </c>
      <c r="BD29" s="464">
        <f t="shared" si="16"/>
        <v>-0.29599999999999999</v>
      </c>
      <c r="BE29" s="423"/>
      <c r="BF29" s="480" t="str">
        <v>-</v>
      </c>
      <c r="BG29" s="470" t="str">
        <v>-</v>
      </c>
      <c r="BH29" s="426"/>
      <c r="BI29" s="510" t="s">
        <v>1101</v>
      </c>
      <c r="BJ29" s="473">
        <f>_xll.RtGet($BN$7,$BN$8&amp;BI29&amp;$BN$9,$BJ$7)</f>
        <v>-0.315472066</v>
      </c>
      <c r="BK29" s="474">
        <f>_xll.RtGet($BN$7,$BN$8&amp;BI29&amp;$BN$9,$BK$7)</f>
        <v>-0.315472066</v>
      </c>
      <c r="BL29" s="423"/>
      <c r="BM29" s="426"/>
      <c r="BN29" s="426"/>
      <c r="BO29" s="421"/>
      <c r="BP29" s="644"/>
      <c r="BQ29" s="645"/>
      <c r="BR29" s="645"/>
      <c r="BS29" s="645"/>
      <c r="BT29" s="645"/>
      <c r="BU29" s="645"/>
      <c r="BV29" s="645"/>
      <c r="BW29" s="645"/>
      <c r="BX29" s="645"/>
      <c r="BY29" s="645"/>
      <c r="BZ29" s="645"/>
      <c r="CA29" s="645"/>
      <c r="CB29" s="645"/>
      <c r="CC29" s="645"/>
      <c r="CD29" s="645"/>
      <c r="CE29" s="645"/>
      <c r="CF29" s="645"/>
      <c r="CG29" s="645"/>
      <c r="CH29" s="645"/>
      <c r="CI29" s="645"/>
      <c r="CJ29" s="645"/>
      <c r="CK29" s="645"/>
      <c r="CL29" s="645"/>
      <c r="CM29" s="645"/>
      <c r="CN29" s="645"/>
      <c r="CO29" s="645"/>
      <c r="CP29" s="645"/>
      <c r="CQ29" s="645"/>
      <c r="CR29" s="645"/>
      <c r="CS29" s="645"/>
      <c r="CT29" s="645"/>
      <c r="CU29" s="645"/>
      <c r="CV29" s="645"/>
      <c r="CW29" s="645"/>
      <c r="CX29" s="645"/>
      <c r="CY29" s="645"/>
      <c r="CZ29" s="645"/>
      <c r="DA29" s="645"/>
      <c r="DB29" s="645"/>
      <c r="DC29" s="645"/>
      <c r="DD29" s="645"/>
      <c r="DE29" s="645"/>
      <c r="DF29" s="645"/>
      <c r="DG29" s="645"/>
      <c r="DH29" s="645"/>
      <c r="DI29" s="645"/>
      <c r="DJ29" s="645"/>
      <c r="DK29" s="645"/>
      <c r="DL29" s="645"/>
      <c r="DM29" s="645"/>
      <c r="DN29" s="645"/>
      <c r="DO29" s="645"/>
      <c r="DP29" s="645"/>
      <c r="DQ29" s="645"/>
      <c r="DR29" s="645"/>
      <c r="DS29" s="645"/>
      <c r="DT29" s="645"/>
      <c r="DU29" s="645"/>
      <c r="DV29" s="645"/>
      <c r="DW29" s="645"/>
      <c r="DX29" s="645"/>
      <c r="DY29" s="645"/>
      <c r="DZ29" s="645"/>
    </row>
    <row r="30" spans="1:130">
      <c r="A30" s="428"/>
      <c r="B30" s="567" t="s">
        <v>1102</v>
      </c>
      <c r="C30" s="477" t="s">
        <v>73</v>
      </c>
      <c r="D30" s="549"/>
      <c r="E30" s="443" t="b">
        <f>IF(H30&lt;MxStubMat,FALSE,TRUE)</f>
        <v>1</v>
      </c>
      <c r="F30" s="557" t="str">
        <f t="shared" si="21"/>
        <v>Mar 19</v>
      </c>
      <c r="G30" s="558" t="str">
        <f>_xll.xlFutCode(H30)</f>
        <v>H9</v>
      </c>
      <c r="H30" s="559">
        <f>_xll.xlDateNextFutLIFFE(H29)</f>
        <v>43544</v>
      </c>
      <c r="I30" s="461">
        <f t="shared" si="22"/>
        <v>100.2475</v>
      </c>
      <c r="J30" s="560"/>
      <c r="K30" s="561">
        <f t="shared" si="27"/>
        <v>1.25E-3</v>
      </c>
      <c r="L30" s="560">
        <f t="shared" si="23"/>
        <v>100.24875</v>
      </c>
      <c r="M30" s="465">
        <f t="shared" si="28"/>
        <v>5</v>
      </c>
      <c r="N30" s="466">
        <f t="shared" si="24"/>
        <v>5</v>
      </c>
      <c r="O30" s="465">
        <f t="shared" si="29"/>
        <v>5</v>
      </c>
      <c r="P30" s="466">
        <f t="shared" si="25"/>
        <v>8</v>
      </c>
      <c r="Q30" s="423"/>
      <c r="R30" s="520">
        <f t="shared" si="30"/>
        <v>43817</v>
      </c>
      <c r="S30" s="464">
        <f t="shared" si="26"/>
        <v>99.936000000000007</v>
      </c>
      <c r="T30" s="423"/>
      <c r="U30" s="469">
        <v>45736</v>
      </c>
      <c r="V30" s="470">
        <v>0.95198477400755888</v>
      </c>
      <c r="W30" s="426"/>
      <c r="X30" s="538" t="str">
        <f>_xll.xlFutCode(H26)</f>
        <v>H8</v>
      </c>
      <c r="Y30" s="454">
        <f>_xll.RtGet($AE$29,$AE$30&amp;$X30&amp;$AE$31,Y$29)</f>
        <v>100.3275</v>
      </c>
      <c r="Z30" s="539">
        <f>_xll.RtGet($AE$29,$AE$30&amp;$X30&amp;$AE$31,Z$29)</f>
        <v>100.3275</v>
      </c>
      <c r="AA30" s="568">
        <f>_xll.RtGet($AE$29,$AE$30&amp;$X30&amp;$AE$31,AA$29)</f>
        <v>1.25E-4</v>
      </c>
      <c r="AB30" s="569">
        <f>_xll.RtGet($AE$29,$AE$30&amp;$X30&amp;$AE$31,AB$29)</f>
        <v>43180</v>
      </c>
      <c r="AC30" s="423"/>
      <c r="AD30" s="458" t="s">
        <v>1013</v>
      </c>
      <c r="AE30" s="459" t="s">
        <v>1103</v>
      </c>
      <c r="AF30" s="555"/>
      <c r="AG30" s="426"/>
      <c r="AH30" s="420"/>
      <c r="AI30" s="426"/>
      <c r="AJ30" s="493" t="s">
        <v>1104</v>
      </c>
      <c r="AK30" s="426"/>
      <c r="AL30" s="422"/>
      <c r="AM30" s="423"/>
      <c r="AN30" s="423"/>
      <c r="AO30" s="423"/>
      <c r="AP30" s="478" t="b">
        <v>1</v>
      </c>
      <c r="AQ30" s="509" t="str">
        <f t="shared" si="19"/>
        <v>22M</v>
      </c>
      <c r="AR30" s="465">
        <f t="shared" si="10"/>
        <v>22</v>
      </c>
      <c r="AS30" s="466" t="s">
        <v>1071</v>
      </c>
      <c r="AT30" s="461">
        <f t="shared" si="20"/>
        <v>-0.28490150400000003</v>
      </c>
      <c r="AU30" s="462"/>
      <c r="AV30" s="463"/>
      <c r="AW30" s="464">
        <f t="shared" si="11"/>
        <v>-0.28490150400000003</v>
      </c>
      <c r="AX30" s="465">
        <f t="shared" si="17"/>
        <v>28</v>
      </c>
      <c r="AY30" s="466">
        <f t="shared" si="12"/>
        <v>28</v>
      </c>
      <c r="AZ30" s="465">
        <f t="shared" si="18"/>
        <v>28</v>
      </c>
      <c r="BA30" s="466">
        <f t="shared" si="13"/>
        <v>28</v>
      </c>
      <c r="BB30" s="465">
        <f t="shared" si="14"/>
        <v>22</v>
      </c>
      <c r="BC30" s="425" t="str">
        <f t="shared" si="15"/>
        <v>e</v>
      </c>
      <c r="BD30" s="464">
        <f t="shared" si="16"/>
        <v>-0.28490150400000003</v>
      </c>
      <c r="BE30" s="423"/>
      <c r="BF30" s="480" t="str">
        <v>-</v>
      </c>
      <c r="BG30" s="470" t="str">
        <v>-</v>
      </c>
      <c r="BH30" s="426"/>
      <c r="BI30" s="510" t="s">
        <v>1105</v>
      </c>
      <c r="BJ30" s="473">
        <f>_xll.RtGet($BN$7,$BN$8&amp;BI30&amp;$BN$9,$BJ$7)</f>
        <v>-0.306140466</v>
      </c>
      <c r="BK30" s="474">
        <f>_xll.RtGet($BN$7,$BN$8&amp;BI30&amp;$BN$9,$BK$7)</f>
        <v>-0.306140466</v>
      </c>
      <c r="BL30" s="423"/>
      <c r="BM30" s="426"/>
      <c r="BN30" s="426"/>
      <c r="BO30" s="421"/>
      <c r="BP30" s="644"/>
      <c r="BQ30" s="645"/>
      <c r="BR30" s="645"/>
      <c r="BS30" s="645"/>
      <c r="BT30" s="645"/>
      <c r="BU30" s="645"/>
      <c r="BV30" s="645"/>
      <c r="BW30" s="645"/>
      <c r="BX30" s="645"/>
      <c r="BY30" s="645"/>
      <c r="BZ30" s="645"/>
      <c r="CA30" s="645"/>
      <c r="CB30" s="645"/>
      <c r="CC30" s="645"/>
      <c r="CD30" s="645"/>
      <c r="CE30" s="645"/>
      <c r="CF30" s="645"/>
      <c r="CG30" s="645"/>
      <c r="CH30" s="645"/>
      <c r="CI30" s="645"/>
      <c r="CJ30" s="645"/>
      <c r="CK30" s="645"/>
      <c r="CL30" s="645"/>
      <c r="CM30" s="645"/>
      <c r="CN30" s="645"/>
      <c r="CO30" s="645"/>
      <c r="CP30" s="645"/>
      <c r="CQ30" s="645"/>
      <c r="CR30" s="645"/>
      <c r="CS30" s="645"/>
      <c r="CT30" s="645"/>
      <c r="CU30" s="645"/>
      <c r="CV30" s="645"/>
      <c r="CW30" s="645"/>
      <c r="CX30" s="645"/>
      <c r="CY30" s="645"/>
      <c r="CZ30" s="645"/>
      <c r="DA30" s="645"/>
      <c r="DB30" s="645"/>
      <c r="DC30" s="645"/>
      <c r="DD30" s="645"/>
      <c r="DE30" s="645"/>
      <c r="DF30" s="645"/>
      <c r="DG30" s="645"/>
      <c r="DH30" s="645"/>
      <c r="DI30" s="645"/>
      <c r="DJ30" s="645"/>
      <c r="DK30" s="645"/>
      <c r="DL30" s="645"/>
      <c r="DM30" s="645"/>
      <c r="DN30" s="645"/>
      <c r="DO30" s="645"/>
      <c r="DP30" s="645"/>
      <c r="DQ30" s="645"/>
      <c r="DR30" s="645"/>
      <c r="DS30" s="645"/>
      <c r="DT30" s="645"/>
      <c r="DU30" s="645"/>
      <c r="DV30" s="645"/>
      <c r="DW30" s="645"/>
      <c r="DX30" s="645"/>
      <c r="DY30" s="645"/>
      <c r="DZ30" s="645"/>
    </row>
    <row r="31" spans="1:130">
      <c r="A31" s="428"/>
      <c r="B31" s="570" t="s">
        <v>1106</v>
      </c>
      <c r="C31" s="485" t="s">
        <v>1028</v>
      </c>
      <c r="D31" s="549"/>
      <c r="E31" s="443" t="b">
        <v>1</v>
      </c>
      <c r="F31" s="557" t="str">
        <f t="shared" si="21"/>
        <v>Jun 19</v>
      </c>
      <c r="G31" s="558" t="str">
        <f>_xll.xlFutCode(H31)</f>
        <v>M9</v>
      </c>
      <c r="H31" s="559">
        <f>_xll.xlDateNextFutLIFFE(H30)</f>
        <v>43635</v>
      </c>
      <c r="I31" s="461">
        <f t="shared" si="22"/>
        <v>100.1575</v>
      </c>
      <c r="J31" s="560"/>
      <c r="K31" s="561">
        <f t="shared" si="27"/>
        <v>1.75E-3</v>
      </c>
      <c r="L31" s="560">
        <f t="shared" si="23"/>
        <v>100.15925</v>
      </c>
      <c r="M31" s="465">
        <f t="shared" si="28"/>
        <v>6</v>
      </c>
      <c r="N31" s="466">
        <f t="shared" si="24"/>
        <v>6</v>
      </c>
      <c r="O31" s="465">
        <f t="shared" si="29"/>
        <v>6</v>
      </c>
      <c r="P31" s="466">
        <f t="shared" si="25"/>
        <v>9</v>
      </c>
      <c r="Q31" s="423"/>
      <c r="R31" s="520">
        <f t="shared" si="30"/>
        <v>43908</v>
      </c>
      <c r="S31" s="464">
        <f t="shared" si="26"/>
        <v>99.831500000000005</v>
      </c>
      <c r="T31" s="426"/>
      <c r="U31" s="469">
        <v>46101</v>
      </c>
      <c r="V31" s="470">
        <v>0.93614266715770722</v>
      </c>
      <c r="W31" s="426"/>
      <c r="X31" s="571" t="str">
        <f>_xll.xlFutCode(H27)</f>
        <v>M8</v>
      </c>
      <c r="Y31" s="473">
        <f>_xll.RtGet($AE$29,$AE$30&amp;$X31&amp;$AE$31,Y$29)</f>
        <v>100.31750000000001</v>
      </c>
      <c r="Z31" s="572">
        <f>_xll.RtGet($AE$29,$AE$30&amp;$X31&amp;$AE$31,Z$29)</f>
        <v>100.31750000000001</v>
      </c>
      <c r="AA31" s="573">
        <f>_xll.RtGet($AE$29,$AE$30&amp;$X31&amp;$AE$31,AA$29)</f>
        <v>1.5000000000000001E-4</v>
      </c>
      <c r="AB31" s="574">
        <f>_xll.RtGet($AE$29,$AE$30&amp;$X31&amp;$AE$31,AB$29)</f>
        <v>43271</v>
      </c>
      <c r="AC31" s="423"/>
      <c r="AD31" s="511" t="s">
        <v>1022</v>
      </c>
      <c r="AE31" s="512"/>
      <c r="AF31" s="555"/>
      <c r="AG31" s="426"/>
      <c r="AH31" s="420"/>
      <c r="AI31" s="426"/>
      <c r="AJ31" s="426"/>
      <c r="AK31" s="426"/>
      <c r="AL31" s="422"/>
      <c r="AM31" s="423"/>
      <c r="AN31" s="423"/>
      <c r="AO31" s="423"/>
      <c r="AP31" s="478" t="b">
        <v>1</v>
      </c>
      <c r="AQ31" s="509" t="str">
        <f t="shared" si="19"/>
        <v>23M</v>
      </c>
      <c r="AR31" s="465">
        <f t="shared" si="10"/>
        <v>23</v>
      </c>
      <c r="AS31" s="466" t="s">
        <v>1071</v>
      </c>
      <c r="AT31" s="461">
        <f t="shared" si="20"/>
        <v>-0.27327957600000002</v>
      </c>
      <c r="AU31" s="462"/>
      <c r="AV31" s="463"/>
      <c r="AW31" s="464">
        <f t="shared" si="11"/>
        <v>-0.27327957600000002</v>
      </c>
      <c r="AX31" s="465">
        <f t="shared" si="17"/>
        <v>29</v>
      </c>
      <c r="AY31" s="466">
        <f t="shared" si="12"/>
        <v>29</v>
      </c>
      <c r="AZ31" s="465">
        <f t="shared" si="18"/>
        <v>29</v>
      </c>
      <c r="BA31" s="466">
        <f t="shared" si="13"/>
        <v>29</v>
      </c>
      <c r="BB31" s="465">
        <f t="shared" si="14"/>
        <v>23</v>
      </c>
      <c r="BC31" s="425" t="str">
        <f t="shared" si="15"/>
        <v>e</v>
      </c>
      <c r="BD31" s="464">
        <f t="shared" si="16"/>
        <v>-0.27327957600000002</v>
      </c>
      <c r="BE31" s="426"/>
      <c r="BF31" s="480" t="str">
        <v>-</v>
      </c>
      <c r="BG31" s="470" t="str">
        <v>-</v>
      </c>
      <c r="BH31" s="426"/>
      <c r="BI31" s="510" t="s">
        <v>1107</v>
      </c>
      <c r="BJ31" s="473">
        <f>_xll.RtGet($BN$7,$BN$8&amp;BI31&amp;$BN$9,$BJ$7)</f>
        <v>-0.29599999999999999</v>
      </c>
      <c r="BK31" s="474">
        <f>_xll.RtGet($BN$7,$BN$8&amp;BI31&amp;$BN$9,$BK$7)</f>
        <v>-0.29599999999999999</v>
      </c>
      <c r="BL31" s="423"/>
      <c r="BM31" s="426"/>
      <c r="BN31" s="426"/>
      <c r="BO31" s="421"/>
      <c r="BP31" s="644"/>
      <c r="BQ31" s="645"/>
      <c r="BR31" s="645"/>
      <c r="BS31" s="645"/>
      <c r="BT31" s="645"/>
      <c r="BU31" s="645"/>
      <c r="BV31" s="645"/>
      <c r="BW31" s="645"/>
      <c r="BX31" s="645"/>
      <c r="BY31" s="645"/>
      <c r="BZ31" s="645"/>
      <c r="CA31" s="645"/>
      <c r="CB31" s="645"/>
      <c r="CC31" s="645"/>
      <c r="CD31" s="645"/>
      <c r="CE31" s="645"/>
      <c r="CF31" s="645"/>
      <c r="CG31" s="645"/>
      <c r="CH31" s="645"/>
      <c r="CI31" s="645"/>
      <c r="CJ31" s="645"/>
      <c r="CK31" s="645"/>
      <c r="CL31" s="645"/>
      <c r="CM31" s="645"/>
      <c r="CN31" s="645"/>
      <c r="CO31" s="645"/>
      <c r="CP31" s="645"/>
      <c r="CQ31" s="645"/>
      <c r="CR31" s="645"/>
      <c r="CS31" s="645"/>
      <c r="CT31" s="645"/>
      <c r="CU31" s="645"/>
      <c r="CV31" s="645"/>
      <c r="CW31" s="645"/>
      <c r="CX31" s="645"/>
      <c r="CY31" s="645"/>
      <c r="CZ31" s="645"/>
      <c r="DA31" s="645"/>
      <c r="DB31" s="645"/>
      <c r="DC31" s="645"/>
      <c r="DD31" s="645"/>
      <c r="DE31" s="645"/>
      <c r="DF31" s="645"/>
      <c r="DG31" s="645"/>
      <c r="DH31" s="645"/>
      <c r="DI31" s="645"/>
      <c r="DJ31" s="645"/>
      <c r="DK31" s="645"/>
      <c r="DL31" s="645"/>
      <c r="DM31" s="645"/>
      <c r="DN31" s="645"/>
      <c r="DO31" s="645"/>
      <c r="DP31" s="645"/>
      <c r="DQ31" s="645"/>
      <c r="DR31" s="645"/>
      <c r="DS31" s="645"/>
      <c r="DT31" s="645"/>
      <c r="DU31" s="645"/>
      <c r="DV31" s="645"/>
      <c r="DW31" s="645"/>
      <c r="DX31" s="645"/>
      <c r="DY31" s="645"/>
      <c r="DZ31" s="645"/>
    </row>
    <row r="32" spans="1:130">
      <c r="A32" s="428"/>
      <c r="B32" s="570" t="s">
        <v>1108</v>
      </c>
      <c r="C32" s="485" t="s">
        <v>76</v>
      </c>
      <c r="D32" s="549"/>
      <c r="E32" s="443" t="b">
        <v>1</v>
      </c>
      <c r="F32" s="557" t="str">
        <f t="shared" si="21"/>
        <v>Sep 19</v>
      </c>
      <c r="G32" s="558" t="str">
        <f>_xll.xlFutCode(H32)</f>
        <v>U9</v>
      </c>
      <c r="H32" s="559">
        <f>_xll.xlDateNextFutLIFFE(H31)</f>
        <v>43726</v>
      </c>
      <c r="I32" s="461">
        <f t="shared" si="22"/>
        <v>100.0475</v>
      </c>
      <c r="J32" s="560"/>
      <c r="K32" s="561">
        <f t="shared" si="27"/>
        <v>2.2500000000000003E-3</v>
      </c>
      <c r="L32" s="560">
        <f t="shared" si="23"/>
        <v>100.04975</v>
      </c>
      <c r="M32" s="465">
        <f t="shared" si="28"/>
        <v>7</v>
      </c>
      <c r="N32" s="466">
        <f t="shared" si="24"/>
        <v>7</v>
      </c>
      <c r="O32" s="465" t="str">
        <f t="shared" si="29"/>
        <v/>
      </c>
      <c r="P32" s="466" t="str">
        <f t="shared" si="25"/>
        <v/>
      </c>
      <c r="Q32" s="423"/>
      <c r="R32" s="520" t="str">
        <f t="shared" si="30"/>
        <v/>
      </c>
      <c r="S32" s="464" t="str">
        <f t="shared" si="26"/>
        <v/>
      </c>
      <c r="T32" s="426"/>
      <c r="U32" s="469">
        <v>46468</v>
      </c>
      <c r="V32" s="470">
        <v>0.9193200983274239</v>
      </c>
      <c r="W32" s="426"/>
      <c r="X32" s="571" t="str">
        <f>_xll.xlFutCode(H28)</f>
        <v>U8</v>
      </c>
      <c r="Y32" s="473">
        <f>_xll.RtGet($AE$29,$AE$30&amp;$X32&amp;$AE$31,Y$29)</f>
        <v>100.3125</v>
      </c>
      <c r="Z32" s="572">
        <f>_xll.RtGet($AE$29,$AE$30&amp;$X32&amp;$AE$31,Z$29)</f>
        <v>100.3125</v>
      </c>
      <c r="AA32" s="573">
        <f>_xll.RtGet($AE$29,$AE$30&amp;$X32&amp;$AE$31,AA$29)</f>
        <v>2.5000000000000001E-4</v>
      </c>
      <c r="AB32" s="574">
        <f>_xll.RtGet($AE$29,$AE$30&amp;$X32&amp;$AE$31,AB$29)</f>
        <v>43362</v>
      </c>
      <c r="AC32" s="423"/>
      <c r="AD32" s="426"/>
      <c r="AE32" s="426"/>
      <c r="AF32" s="555"/>
      <c r="AG32" s="426"/>
      <c r="AH32" s="426"/>
      <c r="AI32" s="426"/>
      <c r="AJ32" s="575" t="s">
        <v>1109</v>
      </c>
      <c r="AK32" s="426"/>
      <c r="AL32" s="422"/>
      <c r="AM32" s="423"/>
      <c r="AN32" s="423"/>
      <c r="AO32" s="423"/>
      <c r="AP32" s="478" t="b">
        <v>1</v>
      </c>
      <c r="AQ32" s="531" t="str">
        <f t="shared" si="19"/>
        <v>2Y</v>
      </c>
      <c r="AR32" s="465">
        <f t="shared" si="10"/>
        <v>24</v>
      </c>
      <c r="AS32" s="466" t="s">
        <v>1071</v>
      </c>
      <c r="AT32" s="461">
        <f t="shared" si="20"/>
        <v>-0.26199999300000004</v>
      </c>
      <c r="AU32" s="462"/>
      <c r="AV32" s="463"/>
      <c r="AW32" s="464">
        <f t="shared" si="11"/>
        <v>-0.26199999300000004</v>
      </c>
      <c r="AX32" s="465">
        <f t="shared" si="17"/>
        <v>30</v>
      </c>
      <c r="AY32" s="466">
        <f t="shared" si="12"/>
        <v>30</v>
      </c>
      <c r="AZ32" s="465">
        <f t="shared" si="18"/>
        <v>30</v>
      </c>
      <c r="BA32" s="466">
        <f t="shared" si="13"/>
        <v>30</v>
      </c>
      <c r="BB32" s="465">
        <f t="shared" si="14"/>
        <v>24</v>
      </c>
      <c r="BC32" s="425" t="str">
        <f t="shared" si="15"/>
        <v>e</v>
      </c>
      <c r="BD32" s="464">
        <f t="shared" si="16"/>
        <v>-0.26199999300000004</v>
      </c>
      <c r="BE32" s="426"/>
      <c r="BF32" s="480" t="str">
        <v>-</v>
      </c>
      <c r="BG32" s="470" t="str">
        <v>-</v>
      </c>
      <c r="BH32" s="426"/>
      <c r="BI32" s="510" t="s">
        <v>1110</v>
      </c>
      <c r="BJ32" s="473">
        <f>_xll.RtGet($BN$7,$BN$8&amp;BI32&amp;$BN$9,$BJ$7)</f>
        <v>-0.28490150400000003</v>
      </c>
      <c r="BK32" s="474">
        <f>_xll.RtGet($BN$7,$BN$8&amp;BI32&amp;$BN$9,$BK$7)</f>
        <v>-0.28490150400000003</v>
      </c>
      <c r="BL32" s="423"/>
      <c r="BM32" s="426"/>
      <c r="BN32" s="426"/>
      <c r="BO32" s="421"/>
      <c r="BP32" s="644"/>
      <c r="BQ32" s="645"/>
      <c r="BR32" s="645"/>
      <c r="BS32" s="645"/>
      <c r="BT32" s="645"/>
      <c r="BU32" s="645"/>
      <c r="BV32" s="645"/>
      <c r="BW32" s="645"/>
      <c r="BX32" s="645"/>
      <c r="BY32" s="645"/>
      <c r="BZ32" s="645"/>
      <c r="CA32" s="645"/>
      <c r="CB32" s="645"/>
      <c r="CC32" s="645"/>
      <c r="CD32" s="645"/>
      <c r="CE32" s="645"/>
      <c r="CF32" s="645"/>
      <c r="CG32" s="645"/>
      <c r="CH32" s="645"/>
      <c r="CI32" s="645"/>
      <c r="CJ32" s="645"/>
      <c r="CK32" s="645"/>
      <c r="CL32" s="645"/>
      <c r="CM32" s="645"/>
      <c r="CN32" s="645"/>
      <c r="CO32" s="645"/>
      <c r="CP32" s="645"/>
      <c r="CQ32" s="645"/>
      <c r="CR32" s="645"/>
      <c r="CS32" s="645"/>
      <c r="CT32" s="645"/>
      <c r="CU32" s="645"/>
      <c r="CV32" s="645"/>
      <c r="CW32" s="645"/>
      <c r="CX32" s="645"/>
      <c r="CY32" s="645"/>
      <c r="CZ32" s="645"/>
      <c r="DA32" s="645"/>
      <c r="DB32" s="645"/>
      <c r="DC32" s="645"/>
      <c r="DD32" s="645"/>
      <c r="DE32" s="645"/>
      <c r="DF32" s="645"/>
      <c r="DG32" s="645"/>
      <c r="DH32" s="645"/>
      <c r="DI32" s="645"/>
      <c r="DJ32" s="645"/>
      <c r="DK32" s="645"/>
      <c r="DL32" s="645"/>
      <c r="DM32" s="645"/>
      <c r="DN32" s="645"/>
      <c r="DO32" s="645"/>
      <c r="DP32" s="645"/>
      <c r="DQ32" s="645"/>
      <c r="DR32" s="645"/>
      <c r="DS32" s="645"/>
      <c r="DT32" s="645"/>
      <c r="DU32" s="645"/>
      <c r="DV32" s="645"/>
      <c r="DW32" s="645"/>
      <c r="DX32" s="645"/>
      <c r="DY32" s="645"/>
      <c r="DZ32" s="645"/>
    </row>
    <row r="33" spans="1:130">
      <c r="A33" s="428"/>
      <c r="B33" s="576" t="s">
        <v>1052</v>
      </c>
      <c r="C33" s="495" t="s">
        <v>1037</v>
      </c>
      <c r="D33" s="549"/>
      <c r="E33" s="443" t="b">
        <f>IF(E27,FALSE,TRUE)</f>
        <v>1</v>
      </c>
      <c r="F33" s="557" t="str">
        <f t="shared" si="21"/>
        <v>Dec 19</v>
      </c>
      <c r="G33" s="558" t="str">
        <f>_xll.xlFutCode(H33)</f>
        <v>Z9</v>
      </c>
      <c r="H33" s="559">
        <f>_xll.xlDateNextFutLIFFE(H32)</f>
        <v>43817</v>
      </c>
      <c r="I33" s="461">
        <f t="shared" si="22"/>
        <v>99.932500000000005</v>
      </c>
      <c r="J33" s="560"/>
      <c r="K33" s="561">
        <f t="shared" si="27"/>
        <v>3.5000000000000001E-3</v>
      </c>
      <c r="L33" s="560">
        <f t="shared" si="23"/>
        <v>99.936000000000007</v>
      </c>
      <c r="M33" s="465">
        <f t="shared" si="28"/>
        <v>8</v>
      </c>
      <c r="N33" s="466">
        <f t="shared" si="24"/>
        <v>8</v>
      </c>
      <c r="O33" s="465" t="str">
        <f t="shared" si="29"/>
        <v/>
      </c>
      <c r="P33" s="466" t="str">
        <f t="shared" si="25"/>
        <v/>
      </c>
      <c r="Q33" s="423"/>
      <c r="R33" s="520" t="str">
        <f t="shared" si="30"/>
        <v/>
      </c>
      <c r="S33" s="464" t="str">
        <f t="shared" si="26"/>
        <v/>
      </c>
      <c r="T33" s="426"/>
      <c r="U33" s="469">
        <v>46832</v>
      </c>
      <c r="V33" s="470">
        <v>0.90188260769310402</v>
      </c>
      <c r="W33" s="426"/>
      <c r="X33" s="571" t="str">
        <f>_xll.xlFutCode(H29)</f>
        <v>Z8</v>
      </c>
      <c r="Y33" s="473">
        <f>_xll.RtGet($AE$29,$AE$30&amp;$X33&amp;$AE$31,Y$29)</f>
        <v>100.2925</v>
      </c>
      <c r="Z33" s="572">
        <f>_xll.RtGet($AE$29,$AE$30&amp;$X33&amp;$AE$31,Z$29)</f>
        <v>100.2925</v>
      </c>
      <c r="AA33" s="573">
        <f>_xll.RtGet($AE$29,$AE$30&amp;$X33&amp;$AE$31,AA$29)</f>
        <v>4.75E-4</v>
      </c>
      <c r="AB33" s="574">
        <f>_xll.RtGet($AE$29,$AE$30&amp;$X33&amp;$AE$31,AB$29)</f>
        <v>43453</v>
      </c>
      <c r="AC33" s="423"/>
      <c r="AD33" s="426"/>
      <c r="AE33" s="426"/>
      <c r="AF33" s="555"/>
      <c r="AG33" s="426"/>
      <c r="AH33" s="426"/>
      <c r="AI33" s="426"/>
      <c r="AJ33" s="577" t="b">
        <v>1</v>
      </c>
      <c r="AK33" s="426"/>
      <c r="AL33" s="422"/>
      <c r="AM33" s="423"/>
      <c r="AN33" s="423"/>
      <c r="AO33" s="423"/>
      <c r="AP33" s="478" t="b">
        <v>1</v>
      </c>
      <c r="AQ33" s="531" t="str">
        <f t="shared" si="19"/>
        <v>3Y</v>
      </c>
      <c r="AR33" s="465">
        <f t="shared" si="10"/>
        <v>36</v>
      </c>
      <c r="AS33" s="466" t="s">
        <v>1071</v>
      </c>
      <c r="AT33" s="461">
        <f t="shared" si="20"/>
        <v>-9.8000000000000004E-2</v>
      </c>
      <c r="AU33" s="462"/>
      <c r="AV33" s="463"/>
      <c r="AW33" s="464">
        <f t="shared" si="11"/>
        <v>-9.8000000000000004E-2</v>
      </c>
      <c r="AX33" s="465">
        <f t="shared" si="17"/>
        <v>31</v>
      </c>
      <c r="AY33" s="466">
        <f t="shared" si="12"/>
        <v>31</v>
      </c>
      <c r="AZ33" s="465">
        <f t="shared" si="18"/>
        <v>31</v>
      </c>
      <c r="BA33" s="466">
        <f t="shared" si="13"/>
        <v>31</v>
      </c>
      <c r="BB33" s="465">
        <f t="shared" si="14"/>
        <v>36</v>
      </c>
      <c r="BC33" s="425" t="str">
        <f t="shared" si="15"/>
        <v>e</v>
      </c>
      <c r="BD33" s="464">
        <f t="shared" si="16"/>
        <v>-9.8000000000000004E-2</v>
      </c>
      <c r="BE33" s="426"/>
      <c r="BF33" s="480" t="str">
        <v>-</v>
      </c>
      <c r="BG33" s="470" t="str">
        <v>-</v>
      </c>
      <c r="BH33" s="426"/>
      <c r="BI33" s="510" t="s">
        <v>1111</v>
      </c>
      <c r="BJ33" s="473">
        <f>_xll.RtGet($BN$7,$BN$8&amp;BI33&amp;$BN$9,$BJ$7)</f>
        <v>-0.27327957600000002</v>
      </c>
      <c r="BK33" s="474">
        <f>_xll.RtGet($BN$7,$BN$8&amp;BI33&amp;$BN$9,$BK$7)</f>
        <v>-0.27327957600000002</v>
      </c>
      <c r="BL33" s="423"/>
      <c r="BM33" s="426"/>
      <c r="BN33" s="426"/>
      <c r="BO33" s="421"/>
      <c r="BP33" s="644"/>
      <c r="BQ33" s="645"/>
      <c r="BR33" s="645"/>
      <c r="BS33" s="645"/>
      <c r="BT33" s="645"/>
      <c r="BU33" s="645"/>
      <c r="BV33" s="645"/>
      <c r="BW33" s="645"/>
      <c r="BX33" s="645"/>
      <c r="BY33" s="645"/>
      <c r="BZ33" s="645"/>
      <c r="CA33" s="645"/>
      <c r="CB33" s="645"/>
      <c r="CC33" s="645"/>
      <c r="CD33" s="645"/>
      <c r="CE33" s="645"/>
      <c r="CF33" s="645"/>
      <c r="CG33" s="645"/>
      <c r="CH33" s="645"/>
      <c r="CI33" s="645"/>
      <c r="CJ33" s="645"/>
      <c r="CK33" s="645"/>
      <c r="CL33" s="645"/>
      <c r="CM33" s="645"/>
      <c r="CN33" s="645"/>
      <c r="CO33" s="645"/>
      <c r="CP33" s="645"/>
      <c r="CQ33" s="645"/>
      <c r="CR33" s="645"/>
      <c r="CS33" s="645"/>
      <c r="CT33" s="645"/>
      <c r="CU33" s="645"/>
      <c r="CV33" s="645"/>
      <c r="CW33" s="645"/>
      <c r="CX33" s="645"/>
      <c r="CY33" s="645"/>
      <c r="CZ33" s="645"/>
      <c r="DA33" s="645"/>
      <c r="DB33" s="645"/>
      <c r="DC33" s="645"/>
      <c r="DD33" s="645"/>
      <c r="DE33" s="645"/>
      <c r="DF33" s="645"/>
      <c r="DG33" s="645"/>
      <c r="DH33" s="645"/>
      <c r="DI33" s="645"/>
      <c r="DJ33" s="645"/>
      <c r="DK33" s="645"/>
      <c r="DL33" s="645"/>
      <c r="DM33" s="645"/>
      <c r="DN33" s="645"/>
      <c r="DO33" s="645"/>
      <c r="DP33" s="645"/>
      <c r="DQ33" s="645"/>
      <c r="DR33" s="645"/>
      <c r="DS33" s="645"/>
      <c r="DT33" s="645"/>
      <c r="DU33" s="645"/>
      <c r="DV33" s="645"/>
      <c r="DW33" s="645"/>
      <c r="DX33" s="645"/>
      <c r="DY33" s="645"/>
      <c r="DZ33" s="645"/>
    </row>
    <row r="34" spans="1:130">
      <c r="A34" s="428"/>
      <c r="B34" s="578" t="s">
        <v>1113</v>
      </c>
      <c r="C34" s="579" t="s">
        <v>1088</v>
      </c>
      <c r="D34" s="549"/>
      <c r="E34" s="443" t="b">
        <f>IF(E28,FALSE,TRUE)</f>
        <v>1</v>
      </c>
      <c r="F34" s="557" t="str">
        <f t="shared" si="21"/>
        <v>Mar 20</v>
      </c>
      <c r="G34" s="558" t="str">
        <f>_xll.xlFutCode(H34)</f>
        <v>H0</v>
      </c>
      <c r="H34" s="559">
        <f>_xll.xlDateNextFutLIFFE(H33)</f>
        <v>43908</v>
      </c>
      <c r="I34" s="461">
        <f t="shared" si="22"/>
        <v>99.827500000000001</v>
      </c>
      <c r="J34" s="560"/>
      <c r="K34" s="561">
        <f t="shared" si="27"/>
        <v>4.0000000000000001E-3</v>
      </c>
      <c r="L34" s="560">
        <f t="shared" si="23"/>
        <v>99.831500000000005</v>
      </c>
      <c r="M34" s="465">
        <f t="shared" si="28"/>
        <v>9</v>
      </c>
      <c r="N34" s="466">
        <f t="shared" si="24"/>
        <v>9</v>
      </c>
      <c r="O34" s="465" t="str">
        <f t="shared" si="29"/>
        <v/>
      </c>
      <c r="P34" s="466" t="str">
        <f t="shared" si="25"/>
        <v/>
      </c>
      <c r="Q34" s="423"/>
      <c r="R34" s="520" t="str">
        <f t="shared" si="30"/>
        <v/>
      </c>
      <c r="S34" s="464" t="str">
        <f t="shared" si="26"/>
        <v/>
      </c>
      <c r="T34" s="426"/>
      <c r="U34" s="469">
        <v>47197</v>
      </c>
      <c r="V34" s="470">
        <v>0.88393703249906175</v>
      </c>
      <c r="W34" s="426"/>
      <c r="X34" s="571" t="str">
        <f>_xll.xlFutCode(H30)</f>
        <v>H9</v>
      </c>
      <c r="Y34" s="473">
        <f>_xll.RtGet($AE$29,$AE$30&amp;$X34&amp;$AE$31,Y$29)</f>
        <v>100.2475</v>
      </c>
      <c r="Z34" s="572">
        <f>_xll.RtGet($AE$29,$AE$30&amp;$X34&amp;$AE$31,Z$29)</f>
        <v>100.2475</v>
      </c>
      <c r="AA34" s="573">
        <f>_xll.RtGet($AE$29,$AE$30&amp;$X34&amp;$AE$31,AA$29)</f>
        <v>1.25E-3</v>
      </c>
      <c r="AB34" s="574">
        <f>_xll.RtGet($AE$29,$AE$30&amp;$X34&amp;$AE$31,AB$29)</f>
        <v>43544</v>
      </c>
      <c r="AC34" s="423"/>
      <c r="AD34" s="426"/>
      <c r="AE34" s="426"/>
      <c r="AF34" s="555"/>
      <c r="AG34" s="426"/>
      <c r="AH34" s="426"/>
      <c r="AI34" s="426"/>
      <c r="AJ34" s="580" t="b">
        <v>0</v>
      </c>
      <c r="AK34" s="426"/>
      <c r="AL34" s="422"/>
      <c r="AM34" s="423"/>
      <c r="AN34" s="423"/>
      <c r="AO34" s="423"/>
      <c r="AP34" s="478" t="b">
        <v>1</v>
      </c>
      <c r="AQ34" s="531" t="str">
        <f t="shared" si="19"/>
        <v>4Y</v>
      </c>
      <c r="AR34" s="465">
        <f t="shared" si="10"/>
        <v>48</v>
      </c>
      <c r="AS34" s="466" t="s">
        <v>1071</v>
      </c>
      <c r="AT34" s="461">
        <f t="shared" si="20"/>
        <v>7.5999999999999998E-2</v>
      </c>
      <c r="AU34" s="462"/>
      <c r="AV34" s="463"/>
      <c r="AW34" s="464">
        <f t="shared" si="11"/>
        <v>7.5999999999999998E-2</v>
      </c>
      <c r="AX34" s="465">
        <f t="shared" si="17"/>
        <v>32</v>
      </c>
      <c r="AY34" s="466">
        <f t="shared" si="12"/>
        <v>32</v>
      </c>
      <c r="AZ34" s="465">
        <f t="shared" si="18"/>
        <v>32</v>
      </c>
      <c r="BA34" s="466">
        <f t="shared" si="13"/>
        <v>32</v>
      </c>
      <c r="BB34" s="465">
        <f t="shared" si="14"/>
        <v>48</v>
      </c>
      <c r="BC34" s="425" t="str">
        <f t="shared" si="15"/>
        <v>e</v>
      </c>
      <c r="BD34" s="464">
        <f t="shared" si="16"/>
        <v>7.5999999999999998E-2</v>
      </c>
      <c r="BE34" s="426"/>
      <c r="BF34" s="480" t="str">
        <v>-</v>
      </c>
      <c r="BG34" s="470" t="str">
        <v>-</v>
      </c>
      <c r="BH34" s="426"/>
      <c r="BI34" s="581" t="s">
        <v>1114</v>
      </c>
      <c r="BJ34" s="473">
        <f>_xll.RtGet($BN$7,$BN$8&amp;BI34&amp;$BN$9,$BJ$7)</f>
        <v>-0.26199999300000004</v>
      </c>
      <c r="BK34" s="474">
        <f>_xll.RtGet($BN$7,$BN$8&amp;BI34&amp;$BN$9,$BK$7)</f>
        <v>-0.26199999300000004</v>
      </c>
      <c r="BL34" s="426"/>
      <c r="BM34" s="426"/>
      <c r="BN34" s="426"/>
      <c r="BO34" s="421"/>
      <c r="BP34" s="644"/>
      <c r="BQ34" s="645"/>
      <c r="BR34" s="645"/>
      <c r="BS34" s="645"/>
      <c r="BT34" s="645"/>
      <c r="BU34" s="645"/>
      <c r="BV34" s="645"/>
      <c r="BW34" s="645"/>
      <c r="BX34" s="645"/>
      <c r="BY34" s="645"/>
      <c r="BZ34" s="645"/>
      <c r="CA34" s="645"/>
      <c r="CB34" s="645"/>
      <c r="CC34" s="645"/>
      <c r="CD34" s="645"/>
      <c r="CE34" s="645"/>
      <c r="CF34" s="645"/>
      <c r="CG34" s="645"/>
      <c r="CH34" s="645"/>
      <c r="CI34" s="645"/>
      <c r="CJ34" s="645"/>
      <c r="CK34" s="645"/>
      <c r="CL34" s="645"/>
      <c r="CM34" s="645"/>
      <c r="CN34" s="645"/>
      <c r="CO34" s="645"/>
      <c r="CP34" s="645"/>
      <c r="CQ34" s="645"/>
      <c r="CR34" s="645"/>
      <c r="CS34" s="645"/>
      <c r="CT34" s="645"/>
      <c r="CU34" s="645"/>
      <c r="CV34" s="645"/>
      <c r="CW34" s="645"/>
      <c r="CX34" s="645"/>
      <c r="CY34" s="645"/>
      <c r="CZ34" s="645"/>
      <c r="DA34" s="645"/>
      <c r="DB34" s="645"/>
      <c r="DC34" s="645"/>
      <c r="DD34" s="645"/>
      <c r="DE34" s="645"/>
      <c r="DF34" s="645"/>
      <c r="DG34" s="645"/>
      <c r="DH34" s="645"/>
      <c r="DI34" s="645"/>
      <c r="DJ34" s="645"/>
      <c r="DK34" s="645"/>
      <c r="DL34" s="645"/>
      <c r="DM34" s="645"/>
      <c r="DN34" s="645"/>
      <c r="DO34" s="645"/>
      <c r="DP34" s="645"/>
      <c r="DQ34" s="645"/>
      <c r="DR34" s="645"/>
      <c r="DS34" s="645"/>
      <c r="DT34" s="645"/>
      <c r="DU34" s="645"/>
      <c r="DV34" s="645"/>
      <c r="DW34" s="645"/>
      <c r="DX34" s="645"/>
      <c r="DY34" s="645"/>
      <c r="DZ34" s="645"/>
    </row>
    <row r="35" spans="1:130">
      <c r="A35" s="428"/>
      <c r="B35" s="578" t="s">
        <v>1116</v>
      </c>
      <c r="C35" s="579" t="s">
        <v>78</v>
      </c>
      <c r="D35" s="549"/>
      <c r="E35" s="443" t="b">
        <f>IF(E29,FALSE,TRUE)</f>
        <v>0</v>
      </c>
      <c r="F35" s="557" t="str">
        <f t="shared" si="21"/>
        <v>Jun 20</v>
      </c>
      <c r="G35" s="558" t="str">
        <f>_xll.xlFutCode(H35)</f>
        <v>M0</v>
      </c>
      <c r="H35" s="559">
        <f>_xll.xlDateNextFutLIFFE(H34)</f>
        <v>43999</v>
      </c>
      <c r="I35" s="461">
        <f t="shared" si="22"/>
        <v>99.717500000000001</v>
      </c>
      <c r="J35" s="560"/>
      <c r="K35" s="561">
        <f t="shared" si="27"/>
        <v>6.5000000000000006E-3</v>
      </c>
      <c r="L35" s="560">
        <f t="shared" si="23"/>
        <v>99.724000000000004</v>
      </c>
      <c r="M35" s="465">
        <f t="shared" si="28"/>
        <v>10</v>
      </c>
      <c r="N35" s="466" t="str">
        <f t="shared" si="24"/>
        <v/>
      </c>
      <c r="O35" s="465" t="str">
        <f t="shared" si="29"/>
        <v/>
      </c>
      <c r="P35" s="466" t="str">
        <f t="shared" si="25"/>
        <v/>
      </c>
      <c r="Q35" s="423"/>
      <c r="R35" s="520" t="str">
        <f t="shared" si="30"/>
        <v/>
      </c>
      <c r="S35" s="464" t="str">
        <f t="shared" si="26"/>
        <v/>
      </c>
      <c r="T35" s="423"/>
      <c r="U35" s="469">
        <v>47562</v>
      </c>
      <c r="V35" s="470">
        <v>0.86584626140138832</v>
      </c>
      <c r="W35" s="426"/>
      <c r="X35" s="571" t="str">
        <f>_xll.xlFutCode(H31)</f>
        <v>M9</v>
      </c>
      <c r="Y35" s="473">
        <f>_xll.RtGet($AE$29,$AE$30&amp;$X35&amp;$AE$31,Y$29)</f>
        <v>100.1575</v>
      </c>
      <c r="Z35" s="572">
        <f>_xll.RtGet($AE$29,$AE$30&amp;$X35&amp;$AE$31,Z$29)</f>
        <v>100.1575</v>
      </c>
      <c r="AA35" s="573">
        <f>_xll.RtGet($AE$29,$AE$30&amp;$X35&amp;$AE$31,AA$29)</f>
        <v>1.75E-3</v>
      </c>
      <c r="AB35" s="574">
        <f>_xll.RtGet($AE$29,$AE$30&amp;$X35&amp;$AE$31,AB$29)</f>
        <v>43635</v>
      </c>
      <c r="AC35" s="423"/>
      <c r="AD35" s="426"/>
      <c r="AE35" s="426"/>
      <c r="AF35" s="555"/>
      <c r="AG35" s="420"/>
      <c r="AH35" s="420"/>
      <c r="AI35" s="420"/>
      <c r="AJ35" s="420"/>
      <c r="AK35" s="420"/>
      <c r="AL35" s="422"/>
      <c r="AM35" s="423"/>
      <c r="AN35" s="423"/>
      <c r="AO35" s="423"/>
      <c r="AP35" s="478" t="b">
        <v>1</v>
      </c>
      <c r="AQ35" s="582" t="str">
        <f t="shared" si="19"/>
        <v>5Y</v>
      </c>
      <c r="AR35" s="425">
        <f t="shared" si="10"/>
        <v>60</v>
      </c>
      <c r="AS35" s="466" t="s">
        <v>1071</v>
      </c>
      <c r="AT35" s="461">
        <f t="shared" si="20"/>
        <v>0.23400000000000001</v>
      </c>
      <c r="AU35" s="462"/>
      <c r="AV35" s="463"/>
      <c r="AW35" s="464">
        <f t="shared" si="11"/>
        <v>0.23400000000000001</v>
      </c>
      <c r="AX35" s="465">
        <f t="shared" si="17"/>
        <v>33</v>
      </c>
      <c r="AY35" s="466">
        <f t="shared" si="12"/>
        <v>33</v>
      </c>
      <c r="AZ35" s="465">
        <f t="shared" si="18"/>
        <v>33</v>
      </c>
      <c r="BA35" s="466">
        <f t="shared" si="13"/>
        <v>33</v>
      </c>
      <c r="BB35" s="465">
        <f t="shared" si="14"/>
        <v>60</v>
      </c>
      <c r="BC35" s="425" t="str">
        <f t="shared" si="15"/>
        <v>e</v>
      </c>
      <c r="BD35" s="464">
        <f t="shared" si="16"/>
        <v>0.23400000000000001</v>
      </c>
      <c r="BE35" s="423"/>
      <c r="BF35" s="480" t="str">
        <v>-</v>
      </c>
      <c r="BG35" s="470" t="str">
        <v>-</v>
      </c>
      <c r="BH35" s="426"/>
      <c r="BI35" s="581" t="s">
        <v>1112</v>
      </c>
      <c r="BJ35" s="473">
        <f>_xll.RtGet($BN$7,$BN$8&amp;BI35&amp;$BN$9,$BJ$7)</f>
        <v>-9.8000000000000004E-2</v>
      </c>
      <c r="BK35" s="474">
        <f>_xll.RtGet($BN$7,$BN$8&amp;BI35&amp;$BN$9,$BK$7)</f>
        <v>-9.8000000000000004E-2</v>
      </c>
      <c r="BL35" s="423"/>
      <c r="BM35" s="426"/>
      <c r="BN35" s="426"/>
      <c r="BO35" s="421"/>
      <c r="BP35" s="644"/>
      <c r="BQ35" s="645"/>
      <c r="BR35" s="645"/>
      <c r="BS35" s="645"/>
      <c r="BT35" s="645"/>
      <c r="BU35" s="645"/>
      <c r="BV35" s="645"/>
      <c r="BW35" s="645"/>
      <c r="BX35" s="645"/>
      <c r="BY35" s="645"/>
      <c r="BZ35" s="645"/>
      <c r="CA35" s="645"/>
      <c r="CB35" s="645"/>
      <c r="CC35" s="645"/>
      <c r="CD35" s="645"/>
      <c r="CE35" s="645"/>
      <c r="CF35" s="645"/>
      <c r="CG35" s="645"/>
      <c r="CH35" s="645"/>
      <c r="CI35" s="645"/>
      <c r="CJ35" s="645"/>
      <c r="CK35" s="645"/>
      <c r="CL35" s="645"/>
      <c r="CM35" s="645"/>
      <c r="CN35" s="645"/>
      <c r="CO35" s="645"/>
      <c r="CP35" s="645"/>
      <c r="CQ35" s="645"/>
      <c r="CR35" s="645"/>
      <c r="CS35" s="645"/>
      <c r="CT35" s="645"/>
      <c r="CU35" s="645"/>
      <c r="CV35" s="645"/>
      <c r="CW35" s="645"/>
      <c r="CX35" s="645"/>
      <c r="CY35" s="645"/>
      <c r="CZ35" s="645"/>
      <c r="DA35" s="645"/>
      <c r="DB35" s="645"/>
      <c r="DC35" s="645"/>
      <c r="DD35" s="645"/>
      <c r="DE35" s="645"/>
      <c r="DF35" s="645"/>
      <c r="DG35" s="645"/>
      <c r="DH35" s="645"/>
      <c r="DI35" s="645"/>
      <c r="DJ35" s="645"/>
      <c r="DK35" s="645"/>
      <c r="DL35" s="645"/>
      <c r="DM35" s="645"/>
      <c r="DN35" s="645"/>
      <c r="DO35" s="645"/>
      <c r="DP35" s="645"/>
      <c r="DQ35" s="645"/>
      <c r="DR35" s="645"/>
      <c r="DS35" s="645"/>
      <c r="DT35" s="645"/>
      <c r="DU35" s="645"/>
      <c r="DV35" s="645"/>
      <c r="DW35" s="645"/>
      <c r="DX35" s="645"/>
      <c r="DY35" s="645"/>
      <c r="DZ35" s="645"/>
    </row>
    <row r="36" spans="1:130">
      <c r="A36" s="428"/>
      <c r="B36" s="426"/>
      <c r="C36" s="426"/>
      <c r="D36" s="549"/>
      <c r="E36" s="498" t="b">
        <f>IF(E30,FALSE,TRUE)</f>
        <v>0</v>
      </c>
      <c r="F36" s="583" t="str">
        <f t="shared" si="21"/>
        <v>Sep 20</v>
      </c>
      <c r="G36" s="584" t="str">
        <f>_xll.xlFutCode(H36)</f>
        <v>U0</v>
      </c>
      <c r="H36" s="585">
        <f>_xll.xlDateNextFutLIFFE(H35)</f>
        <v>44090</v>
      </c>
      <c r="I36" s="501">
        <f t="shared" si="22"/>
        <v>99.607500000000002</v>
      </c>
      <c r="J36" s="543"/>
      <c r="K36" s="586">
        <f t="shared" si="27"/>
        <v>0.01</v>
      </c>
      <c r="L36" s="543">
        <f t="shared" si="23"/>
        <v>99.617500000000007</v>
      </c>
      <c r="M36" s="527">
        <f t="shared" si="28"/>
        <v>11</v>
      </c>
      <c r="N36" s="528" t="str">
        <f t="shared" si="24"/>
        <v/>
      </c>
      <c r="O36" s="527" t="str">
        <f t="shared" si="29"/>
        <v/>
      </c>
      <c r="P36" s="528" t="str">
        <f t="shared" si="25"/>
        <v/>
      </c>
      <c r="Q36" s="522"/>
      <c r="R36" s="523" t="str">
        <f t="shared" si="30"/>
        <v/>
      </c>
      <c r="S36" s="504" t="str">
        <f>IF(LEN(P36)&gt;0,INDEX($L$26:$L$37,$P36),"")</f>
        <v/>
      </c>
      <c r="T36" s="423"/>
      <c r="U36" s="469">
        <v>47927</v>
      </c>
      <c r="V36" s="470">
        <v>0.84787838578257413</v>
      </c>
      <c r="W36" s="426"/>
      <c r="X36" s="571" t="str">
        <f>_xll.xlFutCode(H32)</f>
        <v>U9</v>
      </c>
      <c r="Y36" s="473">
        <f>_xll.RtGet($AE$29,$AE$30&amp;$X36&amp;$AE$31,Y$29)</f>
        <v>100.0475</v>
      </c>
      <c r="Z36" s="572">
        <f>_xll.RtGet($AE$29,$AE$30&amp;$X36&amp;$AE$31,Z$29)</f>
        <v>100.0475</v>
      </c>
      <c r="AA36" s="573">
        <f>_xll.RtGet($AE$29,$AE$30&amp;$X36&amp;$AE$31,AA$29)</f>
        <v>2.2500000000000003E-3</v>
      </c>
      <c r="AB36" s="574">
        <f>_xll.RtGet($AE$29,$AE$30&amp;$X36&amp;$AE$31,AB$29)</f>
        <v>43726</v>
      </c>
      <c r="AC36" s="423"/>
      <c r="AD36" s="426"/>
      <c r="AE36" s="426"/>
      <c r="AF36" s="555"/>
      <c r="AG36" s="420"/>
      <c r="AH36" s="420"/>
      <c r="AI36" s="420"/>
      <c r="AJ36" s="420"/>
      <c r="AK36" s="426"/>
      <c r="AL36" s="422"/>
      <c r="AM36" s="426"/>
      <c r="AN36" s="426"/>
      <c r="AO36" s="423"/>
      <c r="AP36" s="478" t="b">
        <v>1</v>
      </c>
      <c r="AQ36" s="582" t="str">
        <f t="shared" si="19"/>
        <v>6Y</v>
      </c>
      <c r="AR36" s="425">
        <f t="shared" si="10"/>
        <v>72</v>
      </c>
      <c r="AS36" s="466" t="s">
        <v>1071</v>
      </c>
      <c r="AT36" s="461">
        <f t="shared" si="20"/>
        <v>0.374</v>
      </c>
      <c r="AU36" s="462"/>
      <c r="AV36" s="463"/>
      <c r="AW36" s="464">
        <f t="shared" si="11"/>
        <v>0.374</v>
      </c>
      <c r="AX36" s="465">
        <f t="shared" si="17"/>
        <v>34</v>
      </c>
      <c r="AY36" s="466">
        <f t="shared" si="12"/>
        <v>34</v>
      </c>
      <c r="AZ36" s="465">
        <f t="shared" si="18"/>
        <v>34</v>
      </c>
      <c r="BA36" s="466">
        <f t="shared" si="13"/>
        <v>34</v>
      </c>
      <c r="BB36" s="465">
        <f t="shared" si="14"/>
        <v>72</v>
      </c>
      <c r="BC36" s="425" t="str">
        <f t="shared" si="15"/>
        <v>e</v>
      </c>
      <c r="BD36" s="464">
        <f t="shared" si="16"/>
        <v>0.374</v>
      </c>
      <c r="BE36" s="423"/>
      <c r="BF36" s="480" t="str">
        <v>-</v>
      </c>
      <c r="BG36" s="470" t="str">
        <v>-</v>
      </c>
      <c r="BH36" s="426"/>
      <c r="BI36" s="581" t="s">
        <v>1115</v>
      </c>
      <c r="BJ36" s="473">
        <f>_xll.RtGet($BN$7,$BN$8&amp;BI36&amp;$BN$9,$BJ$7)</f>
        <v>7.5999999999999998E-2</v>
      </c>
      <c r="BK36" s="474">
        <f>_xll.RtGet($BN$7,$BN$8&amp;BI36&amp;$BN$9,$BK$7)</f>
        <v>7.5999999999999998E-2</v>
      </c>
      <c r="BL36" s="423"/>
      <c r="BM36" s="426"/>
      <c r="BN36" s="426"/>
      <c r="BO36" s="421"/>
      <c r="BP36" s="644"/>
      <c r="BQ36" s="645"/>
      <c r="BR36" s="645"/>
      <c r="BS36" s="645"/>
      <c r="BT36" s="645"/>
      <c r="BU36" s="645"/>
      <c r="BV36" s="645"/>
      <c r="BW36" s="645"/>
      <c r="BX36" s="645"/>
      <c r="BY36" s="645"/>
      <c r="BZ36" s="645"/>
      <c r="CA36" s="645"/>
      <c r="CB36" s="645"/>
      <c r="CC36" s="645"/>
      <c r="CD36" s="645"/>
      <c r="CE36" s="645"/>
      <c r="CF36" s="645"/>
      <c r="CG36" s="645"/>
      <c r="CH36" s="645"/>
      <c r="CI36" s="645"/>
      <c r="CJ36" s="645"/>
      <c r="CK36" s="645"/>
      <c r="CL36" s="645"/>
      <c r="CM36" s="645"/>
      <c r="CN36" s="645"/>
      <c r="CO36" s="645"/>
      <c r="CP36" s="645"/>
      <c r="CQ36" s="645"/>
      <c r="CR36" s="645"/>
      <c r="CS36" s="645"/>
      <c r="CT36" s="645"/>
      <c r="CU36" s="645"/>
      <c r="CV36" s="645"/>
      <c r="CW36" s="645"/>
      <c r="CX36" s="645"/>
      <c r="CY36" s="645"/>
      <c r="CZ36" s="645"/>
      <c r="DA36" s="645"/>
      <c r="DB36" s="645"/>
      <c r="DC36" s="645"/>
      <c r="DD36" s="645"/>
      <c r="DE36" s="645"/>
      <c r="DF36" s="645"/>
      <c r="DG36" s="645"/>
      <c r="DH36" s="645"/>
      <c r="DI36" s="645"/>
      <c r="DJ36" s="645"/>
      <c r="DK36" s="645"/>
      <c r="DL36" s="645"/>
      <c r="DM36" s="645"/>
      <c r="DN36" s="645"/>
      <c r="DO36" s="645"/>
      <c r="DP36" s="645"/>
      <c r="DQ36" s="645"/>
      <c r="DR36" s="645"/>
      <c r="DS36" s="645"/>
      <c r="DT36" s="645"/>
      <c r="DU36" s="645"/>
      <c r="DV36" s="645"/>
      <c r="DW36" s="645"/>
      <c r="DX36" s="645"/>
      <c r="DY36" s="645"/>
      <c r="DZ36" s="645"/>
    </row>
    <row r="37" spans="1:130">
      <c r="A37" s="428"/>
      <c r="B37" s="426"/>
      <c r="C37" s="426"/>
      <c r="D37" s="423"/>
      <c r="E37" s="426"/>
      <c r="F37" s="426"/>
      <c r="G37" s="426"/>
      <c r="H37" s="426"/>
      <c r="I37" s="426"/>
      <c r="J37" s="426"/>
      <c r="K37" s="426"/>
      <c r="L37" s="426"/>
      <c r="M37" s="423"/>
      <c r="N37" s="423"/>
      <c r="O37" s="423"/>
      <c r="P37" s="423"/>
      <c r="Q37" s="423"/>
      <c r="R37" s="423"/>
      <c r="S37" s="423"/>
      <c r="T37" s="423"/>
      <c r="U37" s="469">
        <v>48295</v>
      </c>
      <c r="V37" s="470">
        <v>0.83006852918422691</v>
      </c>
      <c r="W37" s="426"/>
      <c r="X37" s="571" t="str">
        <f>_xll.xlFutCode(H33)</f>
        <v>Z9</v>
      </c>
      <c r="Y37" s="473">
        <f>_xll.RtGet($AE$29,$AE$30&amp;$X37&amp;$AE$31,Y$29)</f>
        <v>99.932500000000005</v>
      </c>
      <c r="Z37" s="572">
        <f>_xll.RtGet($AE$29,$AE$30&amp;$X37&amp;$AE$31,Z$29)</f>
        <v>99.932500000000005</v>
      </c>
      <c r="AA37" s="573">
        <f>_xll.RtGet($AE$29,$AE$30&amp;$X37&amp;$AE$31,AA$29)</f>
        <v>3.5000000000000001E-3</v>
      </c>
      <c r="AB37" s="574">
        <f>_xll.RtGet($AE$29,$AE$30&amp;$X37&amp;$AE$31,AB$29)</f>
        <v>43817</v>
      </c>
      <c r="AC37" s="423"/>
      <c r="AD37" s="426"/>
      <c r="AE37" s="426"/>
      <c r="AF37" s="426"/>
      <c r="AG37" s="420"/>
      <c r="AH37" s="420"/>
      <c r="AI37" s="420"/>
      <c r="AJ37" s="420"/>
      <c r="AK37" s="426"/>
      <c r="AL37" s="422"/>
      <c r="AM37" s="426"/>
      <c r="AN37" s="426"/>
      <c r="AO37" s="423"/>
      <c r="AP37" s="478" t="b">
        <v>1</v>
      </c>
      <c r="AQ37" s="582" t="str">
        <f t="shared" si="19"/>
        <v>7Y</v>
      </c>
      <c r="AR37" s="425">
        <f t="shared" si="10"/>
        <v>84</v>
      </c>
      <c r="AS37" s="466" t="s">
        <v>1071</v>
      </c>
      <c r="AT37" s="461">
        <f t="shared" si="20"/>
        <v>0.5</v>
      </c>
      <c r="AU37" s="462"/>
      <c r="AV37" s="463"/>
      <c r="AW37" s="464">
        <f t="shared" si="11"/>
        <v>0.5</v>
      </c>
      <c r="AX37" s="465">
        <f t="shared" si="17"/>
        <v>35</v>
      </c>
      <c r="AY37" s="466">
        <f t="shared" si="12"/>
        <v>35</v>
      </c>
      <c r="AZ37" s="465">
        <f t="shared" si="18"/>
        <v>35</v>
      </c>
      <c r="BA37" s="466">
        <f t="shared" si="13"/>
        <v>35</v>
      </c>
      <c r="BB37" s="465">
        <f t="shared" si="14"/>
        <v>84</v>
      </c>
      <c r="BC37" s="425" t="str">
        <f t="shared" si="15"/>
        <v>e</v>
      </c>
      <c r="BD37" s="464">
        <f t="shared" si="16"/>
        <v>0.5</v>
      </c>
      <c r="BE37" s="423"/>
      <c r="BF37" s="480" t="str">
        <v>-</v>
      </c>
      <c r="BG37" s="470" t="str">
        <v>-</v>
      </c>
      <c r="BH37" s="426"/>
      <c r="BI37" s="581" t="s">
        <v>1117</v>
      </c>
      <c r="BJ37" s="473">
        <f>_xll.RtGet($BN$7,$BN$8&amp;BI37&amp;$BN$9,$BJ$7)</f>
        <v>0.23400000000000001</v>
      </c>
      <c r="BK37" s="474">
        <f>_xll.RtGet($BN$7,$BN$8&amp;BI37&amp;$BN$9,$BK$7)</f>
        <v>0.23400000000000001</v>
      </c>
      <c r="BL37" s="423"/>
      <c r="BM37" s="426"/>
      <c r="BN37" s="426"/>
      <c r="BO37" s="421"/>
      <c r="BP37" s="644"/>
      <c r="BQ37" s="645"/>
      <c r="BR37" s="645"/>
      <c r="BS37" s="645"/>
      <c r="BT37" s="645"/>
      <c r="BU37" s="645"/>
      <c r="BV37" s="645"/>
      <c r="BW37" s="645"/>
      <c r="BX37" s="645"/>
      <c r="BY37" s="645"/>
      <c r="BZ37" s="645"/>
      <c r="CA37" s="645"/>
      <c r="CB37" s="645"/>
      <c r="CC37" s="645"/>
      <c r="CD37" s="645"/>
      <c r="CE37" s="645"/>
      <c r="CF37" s="645"/>
      <c r="CG37" s="645"/>
      <c r="CH37" s="645"/>
      <c r="CI37" s="645"/>
      <c r="CJ37" s="645"/>
      <c r="CK37" s="645"/>
      <c r="CL37" s="645"/>
      <c r="CM37" s="645"/>
      <c r="CN37" s="645"/>
      <c r="CO37" s="645"/>
      <c r="CP37" s="645"/>
      <c r="CQ37" s="645"/>
      <c r="CR37" s="645"/>
      <c r="CS37" s="645"/>
      <c r="CT37" s="645"/>
      <c r="CU37" s="645"/>
      <c r="CV37" s="645"/>
      <c r="CW37" s="645"/>
      <c r="CX37" s="645"/>
      <c r="CY37" s="645"/>
      <c r="CZ37" s="645"/>
      <c r="DA37" s="645"/>
      <c r="DB37" s="645"/>
      <c r="DC37" s="645"/>
      <c r="DD37" s="645"/>
      <c r="DE37" s="645"/>
      <c r="DF37" s="645"/>
      <c r="DG37" s="645"/>
      <c r="DH37" s="645"/>
      <c r="DI37" s="645"/>
      <c r="DJ37" s="645"/>
      <c r="DK37" s="645"/>
      <c r="DL37" s="645"/>
      <c r="DM37" s="645"/>
      <c r="DN37" s="645"/>
      <c r="DO37" s="645"/>
      <c r="DP37" s="645"/>
      <c r="DQ37" s="645"/>
      <c r="DR37" s="645"/>
      <c r="DS37" s="645"/>
      <c r="DT37" s="645"/>
      <c r="DU37" s="645"/>
      <c r="DV37" s="645"/>
      <c r="DW37" s="645"/>
      <c r="DX37" s="645"/>
      <c r="DY37" s="645"/>
      <c r="DZ37" s="645"/>
    </row>
    <row r="38" spans="1:130">
      <c r="A38" s="428"/>
      <c r="B38" s="1016" t="s">
        <v>1120</v>
      </c>
      <c r="C38" s="1017"/>
      <c r="D38" s="423"/>
      <c r="E38" s="545" t="s">
        <v>998</v>
      </c>
      <c r="F38" s="423"/>
      <c r="G38" s="423"/>
      <c r="H38" s="423"/>
      <c r="I38" s="429" t="s">
        <v>999</v>
      </c>
      <c r="J38" s="429" t="s">
        <v>1000</v>
      </c>
      <c r="K38" s="429" t="s">
        <v>1001</v>
      </c>
      <c r="L38" s="429" t="s">
        <v>1002</v>
      </c>
      <c r="M38" s="426"/>
      <c r="N38" s="425"/>
      <c r="O38" s="423"/>
      <c r="P38" s="425"/>
      <c r="Q38" s="426"/>
      <c r="R38" s="426"/>
      <c r="S38" s="430">
        <f t="array" ref="S38">SUM(1*E39:E80)</f>
        <v>40</v>
      </c>
      <c r="T38" s="423"/>
      <c r="U38" s="469">
        <v>48659</v>
      </c>
      <c r="V38" s="470">
        <v>0.81288197891018055</v>
      </c>
      <c r="W38" s="426"/>
      <c r="X38" s="571" t="str">
        <f>_xll.xlFutCode(H34)</f>
        <v>H0</v>
      </c>
      <c r="Y38" s="473">
        <f>_xll.RtGet($AE$29,$AE$30&amp;$X38&amp;$AE$31,Y$29)</f>
        <v>99.827500000000001</v>
      </c>
      <c r="Z38" s="572">
        <f>_xll.RtGet($AE$29,$AE$30&amp;$X38&amp;$AE$31,Z$29)</f>
        <v>99.827500000000001</v>
      </c>
      <c r="AA38" s="573">
        <f>_xll.RtGet($AE$29,$AE$30&amp;$X38&amp;$AE$31,AA$29)</f>
        <v>4.0000000000000001E-3</v>
      </c>
      <c r="AB38" s="574">
        <f>_xll.RtGet($AE$29,$AE$30&amp;$X38&amp;$AE$31,AB$29)</f>
        <v>43908</v>
      </c>
      <c r="AC38" s="423"/>
      <c r="AD38" s="426"/>
      <c r="AE38" s="426"/>
      <c r="AF38" s="426"/>
      <c r="AG38" s="420"/>
      <c r="AH38" s="420"/>
      <c r="AI38" s="420"/>
      <c r="AJ38" s="420"/>
      <c r="AK38" s="426"/>
      <c r="AL38" s="422"/>
      <c r="AM38" s="426"/>
      <c r="AN38" s="426"/>
      <c r="AO38" s="423"/>
      <c r="AP38" s="478" t="b">
        <v>1</v>
      </c>
      <c r="AQ38" s="582" t="str">
        <f t="shared" si="19"/>
        <v>8Y</v>
      </c>
      <c r="AR38" s="425">
        <f t="shared" si="10"/>
        <v>96</v>
      </c>
      <c r="AS38" s="466" t="s">
        <v>1071</v>
      </c>
      <c r="AT38" s="461">
        <f t="shared" si="20"/>
        <v>0.61199999999999999</v>
      </c>
      <c r="AU38" s="462"/>
      <c r="AV38" s="463"/>
      <c r="AW38" s="464">
        <f t="shared" si="11"/>
        <v>0.61199999999999999</v>
      </c>
      <c r="AX38" s="465">
        <f t="shared" si="17"/>
        <v>36</v>
      </c>
      <c r="AY38" s="466">
        <f t="shared" si="12"/>
        <v>36</v>
      </c>
      <c r="AZ38" s="465">
        <f t="shared" si="18"/>
        <v>36</v>
      </c>
      <c r="BA38" s="466">
        <f t="shared" si="13"/>
        <v>36</v>
      </c>
      <c r="BB38" s="465">
        <f t="shared" si="14"/>
        <v>96</v>
      </c>
      <c r="BC38" s="425" t="str">
        <f t="shared" si="15"/>
        <v>e</v>
      </c>
      <c r="BD38" s="464">
        <f t="shared" si="16"/>
        <v>0.61199999999999999</v>
      </c>
      <c r="BE38" s="423"/>
      <c r="BF38" s="480" t="str">
        <v>-</v>
      </c>
      <c r="BG38" s="470" t="str">
        <v>-</v>
      </c>
      <c r="BH38" s="426"/>
      <c r="BI38" s="581" t="s">
        <v>1118</v>
      </c>
      <c r="BJ38" s="473">
        <f>_xll.RtGet($BN$7,$BN$8&amp;BI38&amp;$BN$9,$BJ$7)</f>
        <v>0.374</v>
      </c>
      <c r="BK38" s="474">
        <f>_xll.RtGet($BN$7,$BN$8&amp;BI38&amp;$BN$9,$BK$7)</f>
        <v>0.374</v>
      </c>
      <c r="BL38" s="423"/>
      <c r="BM38" s="426"/>
      <c r="BN38" s="426"/>
      <c r="BO38" s="421"/>
      <c r="BP38" s="644"/>
      <c r="BQ38" s="645"/>
      <c r="BR38" s="645"/>
      <c r="BS38" s="645"/>
      <c r="BT38" s="645"/>
      <c r="BU38" s="645"/>
      <c r="BV38" s="645"/>
      <c r="BW38" s="645"/>
      <c r="BX38" s="645"/>
      <c r="BY38" s="645"/>
      <c r="BZ38" s="645"/>
      <c r="CA38" s="645"/>
      <c r="CB38" s="645"/>
      <c r="CC38" s="645"/>
      <c r="CD38" s="645"/>
      <c r="CE38" s="645"/>
      <c r="CF38" s="645"/>
      <c r="CG38" s="645"/>
      <c r="CH38" s="645"/>
      <c r="CI38" s="645"/>
      <c r="CJ38" s="645"/>
      <c r="CK38" s="645"/>
      <c r="CL38" s="645"/>
      <c r="CM38" s="645"/>
      <c r="CN38" s="645"/>
      <c r="CO38" s="645"/>
      <c r="CP38" s="645"/>
      <c r="CQ38" s="645"/>
      <c r="CR38" s="645"/>
      <c r="CS38" s="645"/>
      <c r="CT38" s="645"/>
      <c r="CU38" s="645"/>
      <c r="CV38" s="645"/>
      <c r="CW38" s="645"/>
      <c r="CX38" s="645"/>
      <c r="CY38" s="645"/>
      <c r="CZ38" s="645"/>
      <c r="DA38" s="645"/>
      <c r="DB38" s="645"/>
      <c r="DC38" s="645"/>
      <c r="DD38" s="645"/>
      <c r="DE38" s="645"/>
      <c r="DF38" s="645"/>
      <c r="DG38" s="645"/>
      <c r="DH38" s="645"/>
      <c r="DI38" s="645"/>
      <c r="DJ38" s="645"/>
      <c r="DK38" s="645"/>
      <c r="DL38" s="645"/>
      <c r="DM38" s="645"/>
      <c r="DN38" s="645"/>
      <c r="DO38" s="645"/>
      <c r="DP38" s="645"/>
      <c r="DQ38" s="645"/>
      <c r="DR38" s="645"/>
      <c r="DS38" s="645"/>
      <c r="DT38" s="645"/>
      <c r="DU38" s="645"/>
      <c r="DV38" s="645"/>
      <c r="DW38" s="645"/>
      <c r="DX38" s="645"/>
      <c r="DY38" s="645"/>
      <c r="DZ38" s="645"/>
    </row>
    <row r="39" spans="1:130">
      <c r="A39" s="428"/>
      <c r="B39" s="567" t="s">
        <v>1122</v>
      </c>
      <c r="C39" s="587">
        <v>2314</v>
      </c>
      <c r="D39" s="423"/>
      <c r="E39" s="490" t="b">
        <v>0</v>
      </c>
      <c r="F39" s="588">
        <f t="shared" ref="F39:F77" si="31">IF(LEN(X43)&gt;0,X43,"")</f>
        <v>1</v>
      </c>
      <c r="G39" s="423"/>
      <c r="H39" s="423"/>
      <c r="I39" s="446">
        <f t="shared" ref="I39:I77" si="32">AVERAGE(Y43:Z43)</f>
        <v>-0.263468596</v>
      </c>
      <c r="J39" s="537"/>
      <c r="K39" s="448"/>
      <c r="L39" s="537">
        <f t="shared" ref="L39:L80" si="33">IF(ISNUMBER(J39),J39,I39)+K39</f>
        <v>-0.263468596</v>
      </c>
      <c r="M39" s="450">
        <v>1</v>
      </c>
      <c r="N39" s="451" t="str">
        <f t="shared" ref="N39:N80" si="34">IF(E39,M39,"")</f>
        <v/>
      </c>
      <c r="O39" s="430">
        <f>IF($S$38&gt;0,1,"")</f>
        <v>1</v>
      </c>
      <c r="P39" s="451">
        <f t="shared" ref="P39:P80" si="35">IF(LEN(O39)&gt;0,SMALL($N$39:$N$80,O39),"")</f>
        <v>3</v>
      </c>
      <c r="Q39" s="426"/>
      <c r="R39" s="589">
        <f t="shared" ref="R39:R80" si="36">IF(LEN(P39)&gt;0,INDEX($F$39:$F$80,$P39),"")</f>
        <v>3</v>
      </c>
      <c r="S39" s="449">
        <f t="shared" ref="S39:S80" si="37">IF(LEN(P39)&gt;0,INDEX($L$39:$L$80,$P39),"")</f>
        <v>4.1000000000000002E-2</v>
      </c>
      <c r="T39" s="423"/>
      <c r="U39" s="469">
        <v>49023</v>
      </c>
      <c r="V39" s="470">
        <v>0.79621735473188338</v>
      </c>
      <c r="W39" s="426"/>
      <c r="X39" s="571" t="str">
        <f>_xll.xlFutCode(H35)</f>
        <v>M0</v>
      </c>
      <c r="Y39" s="473">
        <f>_xll.RtGet($AE$29,$AE$30&amp;$X39&amp;$AE$31,Y$29)</f>
        <v>99.717500000000001</v>
      </c>
      <c r="Z39" s="572">
        <f>_xll.RtGet($AE$29,$AE$30&amp;$X39&amp;$AE$31,Z$29)</f>
        <v>99.717500000000001</v>
      </c>
      <c r="AA39" s="573">
        <f>_xll.RtGet($AE$29,$AE$30&amp;$X39&amp;$AE$31,AA$29)</f>
        <v>6.5000000000000006E-3</v>
      </c>
      <c r="AB39" s="574">
        <f>_xll.RtGet($AE$29,$AE$30&amp;$X39&amp;$AE$31,AB$29)</f>
        <v>43999</v>
      </c>
      <c r="AC39" s="423"/>
      <c r="AD39" s="426"/>
      <c r="AE39" s="426"/>
      <c r="AF39" s="426"/>
      <c r="AG39" s="420"/>
      <c r="AH39" s="420"/>
      <c r="AI39" s="420"/>
      <c r="AJ39" s="420"/>
      <c r="AK39" s="426"/>
      <c r="AL39" s="422"/>
      <c r="AM39" s="426"/>
      <c r="AN39" s="426"/>
      <c r="AO39" s="423"/>
      <c r="AP39" s="478" t="b">
        <v>1</v>
      </c>
      <c r="AQ39" s="582" t="str">
        <f t="shared" si="19"/>
        <v>9Y</v>
      </c>
      <c r="AR39" s="425">
        <f t="shared" si="10"/>
        <v>108</v>
      </c>
      <c r="AS39" s="466" t="s">
        <v>1071</v>
      </c>
      <c r="AT39" s="461">
        <f t="shared" si="20"/>
        <v>0.71599999999999997</v>
      </c>
      <c r="AU39" s="462"/>
      <c r="AV39" s="463"/>
      <c r="AW39" s="464">
        <f t="shared" si="11"/>
        <v>0.71599999999999997</v>
      </c>
      <c r="AX39" s="465">
        <f t="shared" si="17"/>
        <v>37</v>
      </c>
      <c r="AY39" s="466">
        <f t="shared" si="12"/>
        <v>37</v>
      </c>
      <c r="AZ39" s="465">
        <f t="shared" si="18"/>
        <v>37</v>
      </c>
      <c r="BA39" s="466">
        <f t="shared" si="13"/>
        <v>37</v>
      </c>
      <c r="BB39" s="465">
        <f t="shared" si="14"/>
        <v>108</v>
      </c>
      <c r="BC39" s="425" t="str">
        <f t="shared" si="15"/>
        <v>e</v>
      </c>
      <c r="BD39" s="464">
        <f t="shared" si="16"/>
        <v>0.71599999999999997</v>
      </c>
      <c r="BE39" s="423"/>
      <c r="BF39" s="480" t="str">
        <v>-</v>
      </c>
      <c r="BG39" s="470" t="str">
        <v>-</v>
      </c>
      <c r="BH39" s="426"/>
      <c r="BI39" s="581" t="s">
        <v>1119</v>
      </c>
      <c r="BJ39" s="473">
        <f>_xll.RtGet($BN$7,$BN$8&amp;BI39&amp;$BN$9,$BJ$7)</f>
        <v>0.5</v>
      </c>
      <c r="BK39" s="474">
        <f>_xll.RtGet($BN$7,$BN$8&amp;BI39&amp;$BN$9,$BK$7)</f>
        <v>0.5</v>
      </c>
      <c r="BL39" s="423"/>
      <c r="BM39" s="426"/>
      <c r="BN39" s="426"/>
      <c r="BO39" s="421"/>
      <c r="BP39" s="644"/>
      <c r="BQ39" s="645"/>
      <c r="BR39" s="645"/>
      <c r="BS39" s="645"/>
      <c r="BT39" s="645"/>
      <c r="BU39" s="645"/>
      <c r="BV39" s="645"/>
      <c r="BW39" s="645"/>
      <c r="BX39" s="645"/>
      <c r="BY39" s="645"/>
      <c r="BZ39" s="645"/>
      <c r="CA39" s="645"/>
      <c r="CB39" s="645"/>
      <c r="CC39" s="645"/>
      <c r="CD39" s="645"/>
      <c r="CE39" s="645"/>
      <c r="CF39" s="645"/>
      <c r="CG39" s="645"/>
      <c r="CH39" s="645"/>
      <c r="CI39" s="645"/>
      <c r="CJ39" s="645"/>
      <c r="CK39" s="645"/>
      <c r="CL39" s="645"/>
      <c r="CM39" s="645"/>
      <c r="CN39" s="645"/>
      <c r="CO39" s="645"/>
      <c r="CP39" s="645"/>
      <c r="CQ39" s="645"/>
      <c r="CR39" s="645"/>
      <c r="CS39" s="645"/>
      <c r="CT39" s="645"/>
      <c r="CU39" s="645"/>
      <c r="CV39" s="645"/>
      <c r="CW39" s="645"/>
      <c r="CX39" s="645"/>
      <c r="CY39" s="645"/>
      <c r="CZ39" s="645"/>
      <c r="DA39" s="645"/>
      <c r="DB39" s="645"/>
      <c r="DC39" s="645"/>
      <c r="DD39" s="645"/>
      <c r="DE39" s="645"/>
      <c r="DF39" s="645"/>
      <c r="DG39" s="645"/>
      <c r="DH39" s="645"/>
      <c r="DI39" s="645"/>
      <c r="DJ39" s="645"/>
      <c r="DK39" s="645"/>
      <c r="DL39" s="645"/>
      <c r="DM39" s="645"/>
      <c r="DN39" s="645"/>
      <c r="DO39" s="645"/>
      <c r="DP39" s="645"/>
      <c r="DQ39" s="645"/>
      <c r="DR39" s="645"/>
      <c r="DS39" s="645"/>
      <c r="DT39" s="645"/>
      <c r="DU39" s="645"/>
      <c r="DV39" s="645"/>
      <c r="DW39" s="645"/>
      <c r="DX39" s="645"/>
      <c r="DY39" s="645"/>
      <c r="DZ39" s="645"/>
    </row>
    <row r="40" spans="1:130">
      <c r="A40" s="428"/>
      <c r="B40" s="570" t="s">
        <v>1124</v>
      </c>
      <c r="C40" s="590">
        <f>R26</f>
        <v>43453</v>
      </c>
      <c r="D40" s="423"/>
      <c r="E40" s="443" t="b">
        <v>0</v>
      </c>
      <c r="F40" s="591">
        <f t="shared" si="31"/>
        <v>2</v>
      </c>
      <c r="G40" s="423"/>
      <c r="H40" s="423"/>
      <c r="I40" s="461">
        <f t="shared" si="32"/>
        <v>-0.148697623</v>
      </c>
      <c r="J40" s="560"/>
      <c r="K40" s="463"/>
      <c r="L40" s="560">
        <f t="shared" si="33"/>
        <v>-0.148697623</v>
      </c>
      <c r="M40" s="465">
        <f t="shared" ref="M40:M80" si="38">M39+1</f>
        <v>2</v>
      </c>
      <c r="N40" s="466" t="str">
        <f t="shared" si="34"/>
        <v/>
      </c>
      <c r="O40" s="465">
        <f t="shared" ref="O40:O80" si="39">IF(O39&lt;$S$38,O39+1,"")</f>
        <v>2</v>
      </c>
      <c r="P40" s="466">
        <f t="shared" si="35"/>
        <v>4</v>
      </c>
      <c r="Q40" s="426"/>
      <c r="R40" s="592">
        <f t="shared" si="36"/>
        <v>4</v>
      </c>
      <c r="S40" s="464">
        <f t="shared" si="37"/>
        <v>0.23600000000000002</v>
      </c>
      <c r="T40" s="423"/>
      <c r="U40" s="469">
        <v>49388</v>
      </c>
      <c r="V40" s="470">
        <v>0.78011172359788417</v>
      </c>
      <c r="W40" s="426"/>
      <c r="X40" s="544" t="str">
        <f>_xll.xlFutCode(H36)</f>
        <v>U0</v>
      </c>
      <c r="Y40" s="529">
        <f>_xll.RtGet($AE$29,$AE$30&amp;$X40&amp;$AE$31,Y$29)</f>
        <v>99.607500000000002</v>
      </c>
      <c r="Z40" s="593">
        <f>_xll.RtGet($AE$29,$AE$30&amp;$X40&amp;$AE$31,Z$29)</f>
        <v>99.607500000000002</v>
      </c>
      <c r="AA40" s="594">
        <f>_xll.RtGet($AE$29,$AE$30&amp;$X40&amp;$AE$31,AA$29)</f>
        <v>0.01</v>
      </c>
      <c r="AB40" s="595">
        <f>_xll.RtGet($AE$29,$AE$30&amp;$X40&amp;$AE$31,AB$29)</f>
        <v>44090</v>
      </c>
      <c r="AC40" s="423"/>
      <c r="AD40" s="426"/>
      <c r="AE40" s="426"/>
      <c r="AF40" s="426"/>
      <c r="AG40" s="420"/>
      <c r="AH40" s="420"/>
      <c r="AI40" s="420"/>
      <c r="AJ40" s="420"/>
      <c r="AK40" s="426"/>
      <c r="AL40" s="422"/>
      <c r="AM40" s="426"/>
      <c r="AN40" s="426"/>
      <c r="AO40" s="423"/>
      <c r="AP40" s="478" t="b">
        <v>1</v>
      </c>
      <c r="AQ40" s="582" t="str">
        <f t="shared" si="19"/>
        <v>10Y</v>
      </c>
      <c r="AR40" s="425">
        <f t="shared" si="10"/>
        <v>120</v>
      </c>
      <c r="AS40" s="466" t="s">
        <v>1071</v>
      </c>
      <c r="AT40" s="461">
        <f t="shared" si="20"/>
        <v>0.80800000000000005</v>
      </c>
      <c r="AU40" s="462"/>
      <c r="AV40" s="463"/>
      <c r="AW40" s="464">
        <f t="shared" si="11"/>
        <v>0.80800000000000005</v>
      </c>
      <c r="AX40" s="465">
        <f t="shared" si="17"/>
        <v>38</v>
      </c>
      <c r="AY40" s="466">
        <f t="shared" si="12"/>
        <v>38</v>
      </c>
      <c r="AZ40" s="465">
        <f t="shared" si="18"/>
        <v>38</v>
      </c>
      <c r="BA40" s="466">
        <f t="shared" si="13"/>
        <v>38</v>
      </c>
      <c r="BB40" s="465">
        <f t="shared" si="14"/>
        <v>120</v>
      </c>
      <c r="BC40" s="425" t="str">
        <f t="shared" si="15"/>
        <v>e</v>
      </c>
      <c r="BD40" s="464">
        <f t="shared" si="16"/>
        <v>0.80800000000000005</v>
      </c>
      <c r="BE40" s="423"/>
      <c r="BF40" s="480" t="str">
        <v>-</v>
      </c>
      <c r="BG40" s="470" t="str">
        <v>-</v>
      </c>
      <c r="BH40" s="426"/>
      <c r="BI40" s="581" t="s">
        <v>1121</v>
      </c>
      <c r="BJ40" s="473">
        <f>_xll.RtGet($BN$7,$BN$8&amp;BI40&amp;$BN$9,$BJ$7)</f>
        <v>0.61199999999999999</v>
      </c>
      <c r="BK40" s="474">
        <f>_xll.RtGet($BN$7,$BN$8&amp;BI40&amp;$BN$9,$BK$7)</f>
        <v>0.61199999999999999</v>
      </c>
      <c r="BL40" s="423"/>
      <c r="BM40" s="426"/>
      <c r="BN40" s="426"/>
      <c r="BO40" s="421"/>
      <c r="BP40" s="644"/>
      <c r="BQ40" s="645"/>
      <c r="BR40" s="645"/>
      <c r="BS40" s="645"/>
      <c r="BT40" s="645"/>
      <c r="BU40" s="645"/>
      <c r="BV40" s="645"/>
      <c r="BW40" s="645"/>
      <c r="BX40" s="645"/>
      <c r="BY40" s="645"/>
      <c r="BZ40" s="645"/>
      <c r="CA40" s="645"/>
      <c r="CB40" s="645"/>
      <c r="CC40" s="645"/>
      <c r="CD40" s="645"/>
      <c r="CE40" s="645"/>
      <c r="CF40" s="645"/>
      <c r="CG40" s="645"/>
      <c r="CH40" s="645"/>
      <c r="CI40" s="645"/>
      <c r="CJ40" s="645"/>
      <c r="CK40" s="645"/>
      <c r="CL40" s="645"/>
      <c r="CM40" s="645"/>
      <c r="CN40" s="645"/>
      <c r="CO40" s="645"/>
      <c r="CP40" s="645"/>
      <c r="CQ40" s="645"/>
      <c r="CR40" s="645"/>
      <c r="CS40" s="645"/>
      <c r="CT40" s="645"/>
      <c r="CU40" s="645"/>
      <c r="CV40" s="645"/>
      <c r="CW40" s="645"/>
      <c r="CX40" s="645"/>
      <c r="CY40" s="645"/>
      <c r="CZ40" s="645"/>
      <c r="DA40" s="645"/>
      <c r="DB40" s="645"/>
      <c r="DC40" s="645"/>
      <c r="DD40" s="645"/>
      <c r="DE40" s="645"/>
      <c r="DF40" s="645"/>
      <c r="DG40" s="645"/>
      <c r="DH40" s="645"/>
      <c r="DI40" s="645"/>
      <c r="DJ40" s="645"/>
      <c r="DK40" s="645"/>
      <c r="DL40" s="645"/>
      <c r="DM40" s="645"/>
      <c r="DN40" s="645"/>
      <c r="DO40" s="645"/>
      <c r="DP40" s="645"/>
      <c r="DQ40" s="645"/>
      <c r="DR40" s="645"/>
      <c r="DS40" s="645"/>
      <c r="DT40" s="645"/>
      <c r="DU40" s="645"/>
      <c r="DV40" s="645"/>
      <c r="DW40" s="645"/>
      <c r="DX40" s="645"/>
      <c r="DY40" s="645"/>
      <c r="DZ40" s="645"/>
    </row>
    <row r="41" spans="1:130">
      <c r="A41" s="428"/>
      <c r="B41" s="576" t="s">
        <v>1126</v>
      </c>
      <c r="C41" s="495" t="b">
        <v>1</v>
      </c>
      <c r="D41" s="423"/>
      <c r="E41" s="443" t="b">
        <v>1</v>
      </c>
      <c r="F41" s="591">
        <f t="shared" si="31"/>
        <v>3</v>
      </c>
      <c r="G41" s="423"/>
      <c r="H41" s="423"/>
      <c r="I41" s="461">
        <f t="shared" si="32"/>
        <v>4.1000000000000002E-2</v>
      </c>
      <c r="J41" s="560"/>
      <c r="K41" s="463"/>
      <c r="L41" s="560">
        <f t="shared" si="33"/>
        <v>4.1000000000000002E-2</v>
      </c>
      <c r="M41" s="465">
        <f t="shared" si="38"/>
        <v>3</v>
      </c>
      <c r="N41" s="466">
        <f t="shared" si="34"/>
        <v>3</v>
      </c>
      <c r="O41" s="465">
        <f t="shared" si="39"/>
        <v>3</v>
      </c>
      <c r="P41" s="466">
        <f t="shared" si="35"/>
        <v>5</v>
      </c>
      <c r="Q41" s="423"/>
      <c r="R41" s="592">
        <f t="shared" si="36"/>
        <v>5</v>
      </c>
      <c r="S41" s="464">
        <f t="shared" si="37"/>
        <v>0.41200000000000003</v>
      </c>
      <c r="T41" s="423"/>
      <c r="U41" s="469">
        <v>49754</v>
      </c>
      <c r="V41" s="470">
        <v>0.76462884294972999</v>
      </c>
      <c r="W41" s="426"/>
      <c r="X41" s="423"/>
      <c r="Y41" s="423"/>
      <c r="Z41" s="423"/>
      <c r="AA41" s="423"/>
      <c r="AB41" s="423"/>
      <c r="AC41" s="423"/>
      <c r="AD41" s="426"/>
      <c r="AE41" s="426"/>
      <c r="AF41" s="426"/>
      <c r="AG41" s="420"/>
      <c r="AH41" s="420"/>
      <c r="AI41" s="420"/>
      <c r="AJ41" s="420"/>
      <c r="AK41" s="426"/>
      <c r="AL41" s="422"/>
      <c r="AM41" s="426"/>
      <c r="AN41" s="426"/>
      <c r="AO41" s="423"/>
      <c r="AP41" s="478" t="b">
        <v>1</v>
      </c>
      <c r="AQ41" s="582" t="str">
        <f t="shared" si="19"/>
        <v>11Y</v>
      </c>
      <c r="AR41" s="425">
        <f t="shared" si="10"/>
        <v>132</v>
      </c>
      <c r="AS41" s="466" t="s">
        <v>1071</v>
      </c>
      <c r="AT41" s="461">
        <f t="shared" si="20"/>
        <v>0.89200000000000002</v>
      </c>
      <c r="AU41" s="462"/>
      <c r="AV41" s="463"/>
      <c r="AW41" s="464">
        <f t="shared" si="11"/>
        <v>0.89200000000000002</v>
      </c>
      <c r="AX41" s="465">
        <f t="shared" si="17"/>
        <v>39</v>
      </c>
      <c r="AY41" s="466">
        <f t="shared" si="12"/>
        <v>39</v>
      </c>
      <c r="AZ41" s="465">
        <f t="shared" si="18"/>
        <v>39</v>
      </c>
      <c r="BA41" s="466">
        <f t="shared" si="13"/>
        <v>39</v>
      </c>
      <c r="BB41" s="465">
        <f t="shared" si="14"/>
        <v>132</v>
      </c>
      <c r="BC41" s="425" t="str">
        <f t="shared" si="15"/>
        <v>e</v>
      </c>
      <c r="BD41" s="464">
        <f t="shared" si="16"/>
        <v>0.89200000000000002</v>
      </c>
      <c r="BE41" s="423"/>
      <c r="BF41" s="480" t="str">
        <v>-</v>
      </c>
      <c r="BG41" s="470" t="str">
        <v>-</v>
      </c>
      <c r="BH41" s="426"/>
      <c r="BI41" s="581" t="s">
        <v>1123</v>
      </c>
      <c r="BJ41" s="473">
        <f>_xll.RtGet($BN$7,$BN$8&amp;BI41&amp;$BN$9,$BJ$7)</f>
        <v>0.71599999999999997</v>
      </c>
      <c r="BK41" s="474">
        <f>_xll.RtGet($BN$7,$BN$8&amp;BI41&amp;$BN$9,$BK$7)</f>
        <v>0.71599999999999997</v>
      </c>
      <c r="BL41" s="423"/>
      <c r="BM41" s="426"/>
      <c r="BN41" s="426"/>
      <c r="BO41" s="421"/>
      <c r="BP41" s="644"/>
      <c r="BQ41" s="645"/>
      <c r="BR41" s="645"/>
      <c r="BS41" s="645"/>
      <c r="BT41" s="645"/>
      <c r="BU41" s="645"/>
      <c r="BV41" s="645"/>
      <c r="BW41" s="645"/>
      <c r="BX41" s="645"/>
      <c r="BY41" s="645"/>
      <c r="BZ41" s="645"/>
      <c r="CA41" s="645"/>
      <c r="CB41" s="645"/>
      <c r="CC41" s="645"/>
      <c r="CD41" s="645"/>
      <c r="CE41" s="645"/>
      <c r="CF41" s="645"/>
      <c r="CG41" s="645"/>
      <c r="CH41" s="645"/>
      <c r="CI41" s="645"/>
      <c r="CJ41" s="645"/>
      <c r="CK41" s="645"/>
      <c r="CL41" s="645"/>
      <c r="CM41" s="645"/>
      <c r="CN41" s="645"/>
      <c r="CO41" s="645"/>
      <c r="CP41" s="645"/>
      <c r="CQ41" s="645"/>
      <c r="CR41" s="645"/>
      <c r="CS41" s="645"/>
      <c r="CT41" s="645"/>
      <c r="CU41" s="645"/>
      <c r="CV41" s="645"/>
      <c r="CW41" s="645"/>
      <c r="CX41" s="645"/>
      <c r="CY41" s="645"/>
      <c r="CZ41" s="645"/>
      <c r="DA41" s="645"/>
      <c r="DB41" s="645"/>
      <c r="DC41" s="645"/>
      <c r="DD41" s="645"/>
      <c r="DE41" s="645"/>
      <c r="DF41" s="645"/>
      <c r="DG41" s="645"/>
      <c r="DH41" s="645"/>
      <c r="DI41" s="645"/>
      <c r="DJ41" s="645"/>
      <c r="DK41" s="645"/>
      <c r="DL41" s="645"/>
      <c r="DM41" s="645"/>
      <c r="DN41" s="645"/>
      <c r="DO41" s="645"/>
      <c r="DP41" s="645"/>
      <c r="DQ41" s="645"/>
      <c r="DR41" s="645"/>
      <c r="DS41" s="645"/>
      <c r="DT41" s="645"/>
      <c r="DU41" s="645"/>
      <c r="DV41" s="645"/>
      <c r="DW41" s="645"/>
      <c r="DX41" s="645"/>
      <c r="DY41" s="645"/>
      <c r="DZ41" s="645"/>
    </row>
    <row r="42" spans="1:130">
      <c r="A42" s="428"/>
      <c r="B42" s="596" t="s">
        <v>1128</v>
      </c>
      <c r="C42" s="597" t="s">
        <v>97</v>
      </c>
      <c r="D42" s="426"/>
      <c r="E42" s="443" t="b">
        <v>1</v>
      </c>
      <c r="F42" s="591">
        <f t="shared" si="31"/>
        <v>4</v>
      </c>
      <c r="G42" s="423"/>
      <c r="H42" s="423"/>
      <c r="I42" s="461">
        <f t="shared" si="32"/>
        <v>0.23600000000000002</v>
      </c>
      <c r="J42" s="560"/>
      <c r="K42" s="463"/>
      <c r="L42" s="560">
        <f t="shared" si="33"/>
        <v>0.23600000000000002</v>
      </c>
      <c r="M42" s="465">
        <f t="shared" si="38"/>
        <v>4</v>
      </c>
      <c r="N42" s="466">
        <f t="shared" si="34"/>
        <v>4</v>
      </c>
      <c r="O42" s="465">
        <f t="shared" si="39"/>
        <v>4</v>
      </c>
      <c r="P42" s="466">
        <f t="shared" si="35"/>
        <v>6</v>
      </c>
      <c r="Q42" s="423"/>
      <c r="R42" s="592">
        <f t="shared" si="36"/>
        <v>6</v>
      </c>
      <c r="S42" s="464">
        <f t="shared" si="37"/>
        <v>0.56400000000000006</v>
      </c>
      <c r="T42" s="423"/>
      <c r="U42" s="469">
        <v>50119</v>
      </c>
      <c r="V42" s="470">
        <v>0.74989010138000456</v>
      </c>
      <c r="W42" s="426"/>
      <c r="X42" s="431" t="s">
        <v>1129</v>
      </c>
      <c r="Y42" s="565" t="s">
        <v>16</v>
      </c>
      <c r="Z42" s="433" t="s">
        <v>17</v>
      </c>
      <c r="AA42" s="423"/>
      <c r="AB42" s="423"/>
      <c r="AC42" s="423"/>
      <c r="AD42" s="440" t="s">
        <v>1007</v>
      </c>
      <c r="AE42" s="441" t="s">
        <v>1008</v>
      </c>
      <c r="AF42" s="426"/>
      <c r="AG42" s="420"/>
      <c r="AH42" s="420"/>
      <c r="AI42" s="420"/>
      <c r="AJ42" s="420"/>
      <c r="AK42" s="426"/>
      <c r="AL42" s="422"/>
      <c r="AM42" s="426"/>
      <c r="AN42" s="426"/>
      <c r="AO42" s="426"/>
      <c r="AP42" s="478" t="b">
        <v>1</v>
      </c>
      <c r="AQ42" s="582" t="str">
        <f t="shared" si="19"/>
        <v>12Y</v>
      </c>
      <c r="AR42" s="425">
        <f t="shared" si="10"/>
        <v>144</v>
      </c>
      <c r="AS42" s="466" t="s">
        <v>1071</v>
      </c>
      <c r="AT42" s="461">
        <f t="shared" si="20"/>
        <v>0.96799999999999997</v>
      </c>
      <c r="AU42" s="462"/>
      <c r="AV42" s="463"/>
      <c r="AW42" s="464">
        <f t="shared" si="11"/>
        <v>0.96799999999999997</v>
      </c>
      <c r="AX42" s="465">
        <f t="shared" si="17"/>
        <v>40</v>
      </c>
      <c r="AY42" s="466">
        <f t="shared" si="12"/>
        <v>40</v>
      </c>
      <c r="AZ42" s="465">
        <f t="shared" si="18"/>
        <v>40</v>
      </c>
      <c r="BA42" s="466">
        <f t="shared" si="13"/>
        <v>40</v>
      </c>
      <c r="BB42" s="465">
        <f t="shared" si="14"/>
        <v>144</v>
      </c>
      <c r="BC42" s="425" t="str">
        <f t="shared" si="15"/>
        <v>e</v>
      </c>
      <c r="BD42" s="464">
        <f t="shared" si="16"/>
        <v>0.96799999999999997</v>
      </c>
      <c r="BE42" s="423"/>
      <c r="BF42" s="480" t="str">
        <v>-</v>
      </c>
      <c r="BG42" s="470" t="str">
        <v>-</v>
      </c>
      <c r="BH42" s="426"/>
      <c r="BI42" s="581" t="s">
        <v>1125</v>
      </c>
      <c r="BJ42" s="473">
        <f>_xll.RtGet($BN$7,$BN$8&amp;BI42&amp;$BN$9,$BJ$7)</f>
        <v>0.80800000000000005</v>
      </c>
      <c r="BK42" s="474">
        <f>_xll.RtGet($BN$7,$BN$8&amp;BI42&amp;$BN$9,$BK$7)</f>
        <v>0.80800000000000005</v>
      </c>
      <c r="BL42" s="423"/>
      <c r="BM42" s="426"/>
      <c r="BN42" s="426"/>
      <c r="BO42" s="421"/>
      <c r="BP42" s="644"/>
      <c r="BQ42" s="645"/>
      <c r="BR42" s="645"/>
      <c r="BS42" s="645"/>
      <c r="BT42" s="645"/>
      <c r="BU42" s="645"/>
      <c r="BV42" s="645"/>
      <c r="BW42" s="645"/>
      <c r="BX42" s="645"/>
      <c r="BY42" s="645"/>
      <c r="BZ42" s="645"/>
      <c r="CA42" s="645"/>
      <c r="CB42" s="645"/>
      <c r="CC42" s="645"/>
      <c r="CD42" s="645"/>
      <c r="CE42" s="645"/>
      <c r="CF42" s="645"/>
      <c r="CG42" s="645"/>
      <c r="CH42" s="645"/>
      <c r="CI42" s="645"/>
      <c r="CJ42" s="645"/>
      <c r="CK42" s="645"/>
      <c r="CL42" s="645"/>
      <c r="CM42" s="645"/>
      <c r="CN42" s="645"/>
      <c r="CO42" s="645"/>
      <c r="CP42" s="645"/>
      <c r="CQ42" s="645"/>
      <c r="CR42" s="645"/>
      <c r="CS42" s="645"/>
      <c r="CT42" s="645"/>
      <c r="CU42" s="645"/>
      <c r="CV42" s="645"/>
      <c r="CW42" s="645"/>
      <c r="CX42" s="645"/>
      <c r="CY42" s="645"/>
      <c r="CZ42" s="645"/>
      <c r="DA42" s="645"/>
      <c r="DB42" s="645"/>
      <c r="DC42" s="645"/>
      <c r="DD42" s="645"/>
      <c r="DE42" s="645"/>
      <c r="DF42" s="645"/>
      <c r="DG42" s="645"/>
      <c r="DH42" s="645"/>
      <c r="DI42" s="645"/>
      <c r="DJ42" s="645"/>
      <c r="DK42" s="645"/>
      <c r="DL42" s="645"/>
      <c r="DM42" s="645"/>
      <c r="DN42" s="645"/>
      <c r="DO42" s="645"/>
      <c r="DP42" s="645"/>
      <c r="DQ42" s="645"/>
      <c r="DR42" s="645"/>
      <c r="DS42" s="645"/>
      <c r="DT42" s="645"/>
      <c r="DU42" s="645"/>
      <c r="DV42" s="645"/>
      <c r="DW42" s="645"/>
      <c r="DX42" s="645"/>
      <c r="DY42" s="645"/>
      <c r="DZ42" s="645"/>
    </row>
    <row r="43" spans="1:130">
      <c r="A43" s="428"/>
      <c r="B43" s="598" t="s">
        <v>1131</v>
      </c>
      <c r="C43" s="599" t="s">
        <v>63</v>
      </c>
      <c r="D43" s="423"/>
      <c r="E43" s="443" t="b">
        <v>1</v>
      </c>
      <c r="F43" s="591">
        <f t="shared" si="31"/>
        <v>5</v>
      </c>
      <c r="G43" s="423"/>
      <c r="H43" s="423"/>
      <c r="I43" s="461">
        <f t="shared" si="32"/>
        <v>0.41200000000000003</v>
      </c>
      <c r="J43" s="560"/>
      <c r="K43" s="463"/>
      <c r="L43" s="560">
        <f t="shared" si="33"/>
        <v>0.41200000000000003</v>
      </c>
      <c r="M43" s="465">
        <f t="shared" si="38"/>
        <v>5</v>
      </c>
      <c r="N43" s="466">
        <f t="shared" si="34"/>
        <v>5</v>
      </c>
      <c r="O43" s="465">
        <f t="shared" si="39"/>
        <v>5</v>
      </c>
      <c r="P43" s="466">
        <f t="shared" si="35"/>
        <v>7</v>
      </c>
      <c r="Q43" s="423"/>
      <c r="R43" s="592">
        <f t="shared" si="36"/>
        <v>7</v>
      </c>
      <c r="S43" s="464">
        <f t="shared" si="37"/>
        <v>0.69700000000000006</v>
      </c>
      <c r="T43" s="423"/>
      <c r="U43" s="469">
        <v>50486</v>
      </c>
      <c r="V43" s="470">
        <v>0.73579168170822218</v>
      </c>
      <c r="W43" s="426"/>
      <c r="X43" s="600">
        <v>1</v>
      </c>
      <c r="Y43" s="454">
        <f>_xll.RtGet($AE$42,$AE$43&amp;$X43&amp;$AE$44,Y$42)</f>
        <v>-0.263468596</v>
      </c>
      <c r="Z43" s="455">
        <f>_xll.RtGet($AE$42,$AE$43&amp;$X43&amp;$AE$44,Z$42)</f>
        <v>-0.263468596</v>
      </c>
      <c r="AA43" s="423"/>
      <c r="AB43" s="423"/>
      <c r="AC43" s="423"/>
      <c r="AD43" s="458" t="s">
        <v>1013</v>
      </c>
      <c r="AE43" s="459" t="s">
        <v>1132</v>
      </c>
      <c r="AF43" s="426"/>
      <c r="AG43" s="420"/>
      <c r="AH43" s="420"/>
      <c r="AI43" s="420"/>
      <c r="AJ43" s="420"/>
      <c r="AK43" s="426"/>
      <c r="AL43" s="422"/>
      <c r="AM43" s="426"/>
      <c r="AN43" s="426"/>
      <c r="AO43" s="423"/>
      <c r="AP43" s="478" t="b">
        <v>1</v>
      </c>
      <c r="AQ43" s="582" t="str">
        <f t="shared" si="19"/>
        <v>13Y</v>
      </c>
      <c r="AR43" s="425">
        <f t="shared" si="10"/>
        <v>156</v>
      </c>
      <c r="AS43" s="466" t="s">
        <v>1071</v>
      </c>
      <c r="AT43" s="461">
        <f t="shared" si="20"/>
        <v>1.034466468</v>
      </c>
      <c r="AU43" s="462"/>
      <c r="AV43" s="463"/>
      <c r="AW43" s="464">
        <f t="shared" si="11"/>
        <v>1.034466468</v>
      </c>
      <c r="AX43" s="465">
        <f t="shared" si="17"/>
        <v>41</v>
      </c>
      <c r="AY43" s="466">
        <f t="shared" si="12"/>
        <v>41</v>
      </c>
      <c r="AZ43" s="465">
        <f t="shared" si="18"/>
        <v>41</v>
      </c>
      <c r="BA43" s="466">
        <f t="shared" si="13"/>
        <v>41</v>
      </c>
      <c r="BB43" s="465">
        <f t="shared" si="14"/>
        <v>156</v>
      </c>
      <c r="BC43" s="425" t="str">
        <f t="shared" si="15"/>
        <v>e</v>
      </c>
      <c r="BD43" s="464">
        <f t="shared" si="16"/>
        <v>1.034466468</v>
      </c>
      <c r="BE43" s="423"/>
      <c r="BF43" s="480" t="str">
        <v>-</v>
      </c>
      <c r="BG43" s="470" t="str">
        <v>-</v>
      </c>
      <c r="BH43" s="426"/>
      <c r="BI43" s="581" t="s">
        <v>1127</v>
      </c>
      <c r="BJ43" s="473">
        <f>_xll.RtGet($BN$7,$BN$8&amp;BI43&amp;$BN$9,$BJ$7)</f>
        <v>0.89200000000000002</v>
      </c>
      <c r="BK43" s="474">
        <f>_xll.RtGet($BN$7,$BN$8&amp;BI43&amp;$BN$9,$BK$7)</f>
        <v>0.89200000000000002</v>
      </c>
      <c r="BL43" s="423"/>
      <c r="BM43" s="426"/>
      <c r="BN43" s="426"/>
      <c r="BO43" s="421"/>
      <c r="BP43" s="644"/>
      <c r="BQ43" s="645"/>
      <c r="BR43" s="645"/>
      <c r="BS43" s="645"/>
      <c r="BT43" s="645"/>
      <c r="BU43" s="645"/>
      <c r="BV43" s="645"/>
      <c r="BW43" s="645"/>
      <c r="BX43" s="645"/>
      <c r="BY43" s="645"/>
      <c r="BZ43" s="645"/>
      <c r="CA43" s="645"/>
      <c r="CB43" s="645"/>
      <c r="CC43" s="645"/>
      <c r="CD43" s="645"/>
      <c r="CE43" s="645"/>
      <c r="CF43" s="645"/>
      <c r="CG43" s="645"/>
      <c r="CH43" s="645"/>
      <c r="CI43" s="645"/>
      <c r="CJ43" s="645"/>
      <c r="CK43" s="645"/>
      <c r="CL43" s="645"/>
      <c r="CM43" s="645"/>
      <c r="CN43" s="645"/>
      <c r="CO43" s="645"/>
      <c r="CP43" s="645"/>
      <c r="CQ43" s="645"/>
      <c r="CR43" s="645"/>
      <c r="CS43" s="645"/>
      <c r="CT43" s="645"/>
      <c r="CU43" s="645"/>
      <c r="CV43" s="645"/>
      <c r="CW43" s="645"/>
      <c r="CX43" s="645"/>
      <c r="CY43" s="645"/>
      <c r="CZ43" s="645"/>
      <c r="DA43" s="645"/>
      <c r="DB43" s="645"/>
      <c r="DC43" s="645"/>
      <c r="DD43" s="645"/>
      <c r="DE43" s="645"/>
      <c r="DF43" s="645"/>
      <c r="DG43" s="645"/>
      <c r="DH43" s="645"/>
      <c r="DI43" s="645"/>
      <c r="DJ43" s="645"/>
      <c r="DK43" s="645"/>
      <c r="DL43" s="645"/>
      <c r="DM43" s="645"/>
      <c r="DN43" s="645"/>
      <c r="DO43" s="645"/>
      <c r="DP43" s="645"/>
      <c r="DQ43" s="645"/>
      <c r="DR43" s="645"/>
      <c r="DS43" s="645"/>
      <c r="DT43" s="645"/>
      <c r="DU43" s="645"/>
      <c r="DV43" s="645"/>
      <c r="DW43" s="645"/>
      <c r="DX43" s="645"/>
      <c r="DY43" s="645"/>
      <c r="DZ43" s="645"/>
    </row>
    <row r="44" spans="1:130">
      <c r="A44" s="428"/>
      <c r="B44" s="601" t="s">
        <v>1134</v>
      </c>
      <c r="C44" s="495" t="s">
        <v>62</v>
      </c>
      <c r="D44" s="423"/>
      <c r="E44" s="443" t="b">
        <v>1</v>
      </c>
      <c r="F44" s="591">
        <f t="shared" si="31"/>
        <v>6</v>
      </c>
      <c r="G44" s="423"/>
      <c r="H44" s="423"/>
      <c r="I44" s="461">
        <f t="shared" si="32"/>
        <v>0.56400000000000006</v>
      </c>
      <c r="J44" s="560"/>
      <c r="K44" s="463"/>
      <c r="L44" s="560">
        <f t="shared" si="33"/>
        <v>0.56400000000000006</v>
      </c>
      <c r="M44" s="465">
        <f t="shared" si="38"/>
        <v>6</v>
      </c>
      <c r="N44" s="466">
        <f t="shared" si="34"/>
        <v>6</v>
      </c>
      <c r="O44" s="465">
        <f t="shared" si="39"/>
        <v>6</v>
      </c>
      <c r="P44" s="466">
        <f t="shared" si="35"/>
        <v>8</v>
      </c>
      <c r="Q44" s="423"/>
      <c r="R44" s="592">
        <f t="shared" si="36"/>
        <v>8</v>
      </c>
      <c r="S44" s="464">
        <f t="shared" si="37"/>
        <v>0.81600000000000006</v>
      </c>
      <c r="T44" s="423"/>
      <c r="U44" s="469">
        <v>50850</v>
      </c>
      <c r="V44" s="470">
        <v>0.72249637021324098</v>
      </c>
      <c r="W44" s="602"/>
      <c r="X44" s="582">
        <v>2</v>
      </c>
      <c r="Y44" s="473">
        <f>_xll.RtGet($AE$42,$AE$43&amp;$X44&amp;$AE$44,Y$42)</f>
        <v>-0.148697623</v>
      </c>
      <c r="Z44" s="474">
        <f>_xll.RtGet($AE$42,$AE$43&amp;$X44&amp;$AE$44,Z$42)</f>
        <v>-0.148697623</v>
      </c>
      <c r="AA44" s="423"/>
      <c r="AB44" s="423"/>
      <c r="AC44" s="423"/>
      <c r="AD44" s="511" t="s">
        <v>1022</v>
      </c>
      <c r="AE44" s="512" t="s">
        <v>1135</v>
      </c>
      <c r="AF44" s="426"/>
      <c r="AG44" s="420"/>
      <c r="AH44" s="420"/>
      <c r="AI44" s="420"/>
      <c r="AJ44" s="420"/>
      <c r="AK44" s="426"/>
      <c r="AL44" s="422"/>
      <c r="AM44" s="426"/>
      <c r="AN44" s="426"/>
      <c r="AO44" s="423"/>
      <c r="AP44" s="478" t="b">
        <v>1</v>
      </c>
      <c r="AQ44" s="582" t="str">
        <f t="shared" si="19"/>
        <v>14Y</v>
      </c>
      <c r="AR44" s="425">
        <f t="shared" si="10"/>
        <v>168</v>
      </c>
      <c r="AS44" s="466" t="s">
        <v>1071</v>
      </c>
      <c r="AT44" s="461">
        <f t="shared" si="20"/>
        <v>1.0924364930000001</v>
      </c>
      <c r="AU44" s="462"/>
      <c r="AV44" s="463"/>
      <c r="AW44" s="464">
        <f t="shared" si="11"/>
        <v>1.0924364930000001</v>
      </c>
      <c r="AX44" s="465">
        <f t="shared" si="17"/>
        <v>42</v>
      </c>
      <c r="AY44" s="466">
        <f t="shared" si="12"/>
        <v>42</v>
      </c>
      <c r="AZ44" s="465">
        <f t="shared" si="18"/>
        <v>42</v>
      </c>
      <c r="BA44" s="466">
        <f t="shared" si="13"/>
        <v>42</v>
      </c>
      <c r="BB44" s="465">
        <f t="shared" si="14"/>
        <v>168</v>
      </c>
      <c r="BC44" s="425" t="str">
        <f t="shared" si="15"/>
        <v>e</v>
      </c>
      <c r="BD44" s="464">
        <f t="shared" si="16"/>
        <v>1.0924364930000001</v>
      </c>
      <c r="BE44" s="423"/>
      <c r="BF44" s="480" t="str">
        <v>-</v>
      </c>
      <c r="BG44" s="470" t="str">
        <v>-</v>
      </c>
      <c r="BH44" s="602"/>
      <c r="BI44" s="581" t="s">
        <v>1130</v>
      </c>
      <c r="BJ44" s="473">
        <f>_xll.RtGet($BN$7,$BN$8&amp;BI44&amp;$BN$9,$BJ$7)</f>
        <v>0.96799999999999997</v>
      </c>
      <c r="BK44" s="474">
        <f>_xll.RtGet($BN$7,$BN$8&amp;BI44&amp;$BN$9,$BK$7)</f>
        <v>0.96799999999999997</v>
      </c>
      <c r="BL44" s="423"/>
      <c r="BM44" s="426"/>
      <c r="BN44" s="426"/>
      <c r="BO44" s="421"/>
      <c r="BP44" s="644"/>
      <c r="BQ44" s="645"/>
      <c r="BR44" s="645"/>
      <c r="BS44" s="645"/>
      <c r="BT44" s="645"/>
      <c r="BU44" s="645"/>
      <c r="BV44" s="645"/>
      <c r="BW44" s="645"/>
      <c r="BX44" s="645"/>
      <c r="BY44" s="645"/>
      <c r="BZ44" s="645"/>
      <c r="CA44" s="645"/>
      <c r="CB44" s="645"/>
      <c r="CC44" s="645"/>
      <c r="CD44" s="645"/>
      <c r="CE44" s="645"/>
      <c r="CF44" s="645"/>
      <c r="CG44" s="645"/>
      <c r="CH44" s="645"/>
      <c r="CI44" s="645"/>
      <c r="CJ44" s="645"/>
      <c r="CK44" s="645"/>
      <c r="CL44" s="645"/>
      <c r="CM44" s="645"/>
      <c r="CN44" s="645"/>
      <c r="CO44" s="645"/>
      <c r="CP44" s="645"/>
      <c r="CQ44" s="645"/>
      <c r="CR44" s="645"/>
      <c r="CS44" s="645"/>
      <c r="CT44" s="645"/>
      <c r="CU44" s="645"/>
      <c r="CV44" s="645"/>
      <c r="CW44" s="645"/>
      <c r="CX44" s="645"/>
      <c r="CY44" s="645"/>
      <c r="CZ44" s="645"/>
      <c r="DA44" s="645"/>
      <c r="DB44" s="645"/>
      <c r="DC44" s="645"/>
      <c r="DD44" s="645"/>
      <c r="DE44" s="645"/>
      <c r="DF44" s="645"/>
      <c r="DG44" s="645"/>
      <c r="DH44" s="645"/>
      <c r="DI44" s="645"/>
      <c r="DJ44" s="645"/>
      <c r="DK44" s="645"/>
      <c r="DL44" s="645"/>
      <c r="DM44" s="645"/>
      <c r="DN44" s="645"/>
      <c r="DO44" s="645"/>
      <c r="DP44" s="645"/>
      <c r="DQ44" s="645"/>
      <c r="DR44" s="645"/>
      <c r="DS44" s="645"/>
      <c r="DT44" s="645"/>
      <c r="DU44" s="645"/>
      <c r="DV44" s="645"/>
      <c r="DW44" s="645"/>
      <c r="DX44" s="645"/>
      <c r="DY44" s="645"/>
      <c r="DZ44" s="645"/>
    </row>
    <row r="45" spans="1:130">
      <c r="A45" s="428"/>
      <c r="B45" s="603" t="s">
        <v>1137</v>
      </c>
      <c r="C45" s="604">
        <v>3</v>
      </c>
      <c r="D45" s="423"/>
      <c r="E45" s="443" t="b">
        <v>1</v>
      </c>
      <c r="F45" s="591">
        <f t="shared" si="31"/>
        <v>7</v>
      </c>
      <c r="G45" s="423"/>
      <c r="H45" s="423"/>
      <c r="I45" s="461">
        <f t="shared" si="32"/>
        <v>0.69700000000000006</v>
      </c>
      <c r="J45" s="560"/>
      <c r="K45" s="463"/>
      <c r="L45" s="560">
        <f t="shared" si="33"/>
        <v>0.69700000000000006</v>
      </c>
      <c r="M45" s="465">
        <f t="shared" si="38"/>
        <v>7</v>
      </c>
      <c r="N45" s="466">
        <f t="shared" si="34"/>
        <v>7</v>
      </c>
      <c r="O45" s="465">
        <f t="shared" si="39"/>
        <v>7</v>
      </c>
      <c r="P45" s="466">
        <f t="shared" si="35"/>
        <v>9</v>
      </c>
      <c r="Q45" s="423"/>
      <c r="R45" s="592">
        <f t="shared" si="36"/>
        <v>9</v>
      </c>
      <c r="S45" s="464">
        <f t="shared" si="37"/>
        <v>0.92200000000000004</v>
      </c>
      <c r="T45" s="423"/>
      <c r="U45" s="469">
        <v>51215</v>
      </c>
      <c r="V45" s="470">
        <v>0.70981261717017441</v>
      </c>
      <c r="W45" s="602"/>
      <c r="X45" s="582">
        <v>3</v>
      </c>
      <c r="Y45" s="473">
        <f>_xll.RtGet($AE$42,$AE$43&amp;$X45&amp;$AE$44,Y$42)</f>
        <v>4.1000000000000002E-2</v>
      </c>
      <c r="Z45" s="474">
        <f>_xll.RtGet($AE$42,$AE$43&amp;$X45&amp;$AE$44,Z$42)</f>
        <v>4.1000000000000002E-2</v>
      </c>
      <c r="AA45" s="423"/>
      <c r="AB45" s="423"/>
      <c r="AC45" s="423"/>
      <c r="AD45" s="423"/>
      <c r="AE45" s="423"/>
      <c r="AF45" s="426"/>
      <c r="AG45" s="420"/>
      <c r="AH45" s="420"/>
      <c r="AI45" s="420"/>
      <c r="AJ45" s="420"/>
      <c r="AK45" s="426"/>
      <c r="AL45" s="422"/>
      <c r="AM45" s="426"/>
      <c r="AN45" s="426"/>
      <c r="AO45" s="423"/>
      <c r="AP45" s="478" t="b">
        <v>1</v>
      </c>
      <c r="AQ45" s="582" t="str">
        <f t="shared" si="19"/>
        <v>15Y</v>
      </c>
      <c r="AR45" s="425">
        <f t="shared" si="10"/>
        <v>180</v>
      </c>
      <c r="AS45" s="466" t="s">
        <v>1071</v>
      </c>
      <c r="AT45" s="461">
        <f t="shared" si="20"/>
        <v>1.1419999920000001</v>
      </c>
      <c r="AU45" s="462"/>
      <c r="AV45" s="463"/>
      <c r="AW45" s="464">
        <f t="shared" si="11"/>
        <v>1.1419999920000001</v>
      </c>
      <c r="AX45" s="465">
        <f t="shared" si="17"/>
        <v>43</v>
      </c>
      <c r="AY45" s="466">
        <f t="shared" si="12"/>
        <v>43</v>
      </c>
      <c r="AZ45" s="465">
        <f t="shared" si="18"/>
        <v>43</v>
      </c>
      <c r="BA45" s="466">
        <f t="shared" si="13"/>
        <v>43</v>
      </c>
      <c r="BB45" s="465">
        <f t="shared" si="14"/>
        <v>180</v>
      </c>
      <c r="BC45" s="425" t="str">
        <f t="shared" si="15"/>
        <v>e</v>
      </c>
      <c r="BD45" s="464">
        <f t="shared" si="16"/>
        <v>1.1419999920000001</v>
      </c>
      <c r="BE45" s="423"/>
      <c r="BF45" s="480" t="str">
        <v>-</v>
      </c>
      <c r="BG45" s="470" t="str">
        <v>-</v>
      </c>
      <c r="BH45" s="602"/>
      <c r="BI45" s="581" t="s">
        <v>1133</v>
      </c>
      <c r="BJ45" s="473">
        <f>_xll.RtGet($BN$7,$BN$8&amp;BI45&amp;$BN$9,$BJ$7)</f>
        <v>1.034466468</v>
      </c>
      <c r="BK45" s="474">
        <f>_xll.RtGet($BN$7,$BN$8&amp;BI45&amp;$BN$9,$BK$7)</f>
        <v>1.034466468</v>
      </c>
      <c r="BL45" s="423"/>
      <c r="BM45" s="426"/>
      <c r="BN45" s="426"/>
      <c r="BO45" s="421"/>
      <c r="BP45" s="644"/>
      <c r="BQ45" s="645"/>
      <c r="BR45" s="645"/>
      <c r="BS45" s="645"/>
      <c r="BT45" s="645"/>
      <c r="BU45" s="645"/>
      <c r="BV45" s="645"/>
      <c r="BW45" s="645"/>
      <c r="BX45" s="645"/>
      <c r="BY45" s="645"/>
      <c r="BZ45" s="645"/>
      <c r="CA45" s="645"/>
      <c r="CB45" s="645"/>
      <c r="CC45" s="645"/>
      <c r="CD45" s="645"/>
      <c r="CE45" s="645"/>
      <c r="CF45" s="645"/>
      <c r="CG45" s="645"/>
      <c r="CH45" s="645"/>
      <c r="CI45" s="645"/>
      <c r="CJ45" s="645"/>
      <c r="CK45" s="645"/>
      <c r="CL45" s="645"/>
      <c r="CM45" s="645"/>
      <c r="CN45" s="645"/>
      <c r="CO45" s="645"/>
      <c r="CP45" s="645"/>
      <c r="CQ45" s="645"/>
      <c r="CR45" s="645"/>
      <c r="CS45" s="645"/>
      <c r="CT45" s="645"/>
      <c r="CU45" s="645"/>
      <c r="CV45" s="645"/>
      <c r="CW45" s="645"/>
      <c r="CX45" s="645"/>
      <c r="CY45" s="645"/>
      <c r="CZ45" s="645"/>
      <c r="DA45" s="645"/>
      <c r="DB45" s="645"/>
      <c r="DC45" s="645"/>
      <c r="DD45" s="645"/>
      <c r="DE45" s="645"/>
      <c r="DF45" s="645"/>
      <c r="DG45" s="645"/>
      <c r="DH45" s="645"/>
      <c r="DI45" s="645"/>
      <c r="DJ45" s="645"/>
      <c r="DK45" s="645"/>
      <c r="DL45" s="645"/>
      <c r="DM45" s="645"/>
      <c r="DN45" s="645"/>
      <c r="DO45" s="645"/>
      <c r="DP45" s="645"/>
      <c r="DQ45" s="645"/>
      <c r="DR45" s="645"/>
      <c r="DS45" s="645"/>
      <c r="DT45" s="645"/>
      <c r="DU45" s="645"/>
      <c r="DV45" s="645"/>
      <c r="DW45" s="645"/>
      <c r="DX45" s="645"/>
      <c r="DY45" s="645"/>
      <c r="DZ45" s="645"/>
    </row>
    <row r="46" spans="1:130">
      <c r="A46" s="428"/>
      <c r="B46" s="605" t="s">
        <v>1139</v>
      </c>
      <c r="C46" s="485" t="s">
        <v>1063</v>
      </c>
      <c r="D46" s="423"/>
      <c r="E46" s="443" t="b">
        <v>1</v>
      </c>
      <c r="F46" s="591">
        <f t="shared" si="31"/>
        <v>8</v>
      </c>
      <c r="G46" s="423"/>
      <c r="H46" s="423"/>
      <c r="I46" s="461">
        <f t="shared" si="32"/>
        <v>0.81600000000000006</v>
      </c>
      <c r="J46" s="560"/>
      <c r="K46" s="463"/>
      <c r="L46" s="560">
        <f t="shared" si="33"/>
        <v>0.81600000000000006</v>
      </c>
      <c r="M46" s="465">
        <f t="shared" si="38"/>
        <v>8</v>
      </c>
      <c r="N46" s="466">
        <f t="shared" si="34"/>
        <v>8</v>
      </c>
      <c r="O46" s="465">
        <f t="shared" si="39"/>
        <v>8</v>
      </c>
      <c r="P46" s="466">
        <f t="shared" si="35"/>
        <v>10</v>
      </c>
      <c r="Q46" s="423"/>
      <c r="R46" s="592">
        <f t="shared" si="36"/>
        <v>10</v>
      </c>
      <c r="S46" s="464">
        <f t="shared" si="37"/>
        <v>1.0170000000000001</v>
      </c>
      <c r="T46" s="423"/>
      <c r="U46" s="469">
        <v>51580</v>
      </c>
      <c r="V46" s="470">
        <v>0.69774984676533891</v>
      </c>
      <c r="W46" s="602"/>
      <c r="X46" s="582">
        <v>4</v>
      </c>
      <c r="Y46" s="473">
        <f>_xll.RtGet($AE$42,$AE$43&amp;$X46&amp;$AE$44,Y$42)</f>
        <v>0.23600000000000002</v>
      </c>
      <c r="Z46" s="474">
        <f>_xll.RtGet($AE$42,$AE$43&amp;$X46&amp;$AE$44,Z$42)</f>
        <v>0.23600000000000002</v>
      </c>
      <c r="AA46" s="423"/>
      <c r="AB46" s="423"/>
      <c r="AC46" s="423"/>
      <c r="AD46" s="423"/>
      <c r="AE46" s="423"/>
      <c r="AF46" s="426"/>
      <c r="AG46" s="420"/>
      <c r="AH46" s="420"/>
      <c r="AI46" s="420"/>
      <c r="AJ46" s="420"/>
      <c r="AK46" s="426"/>
      <c r="AL46" s="422"/>
      <c r="AM46" s="426"/>
      <c r="AN46" s="426"/>
      <c r="AO46" s="423"/>
      <c r="AP46" s="478" t="b">
        <v>1</v>
      </c>
      <c r="AQ46" s="582" t="str">
        <f t="shared" si="19"/>
        <v>16Y</v>
      </c>
      <c r="AR46" s="425">
        <f t="shared" si="10"/>
        <v>192</v>
      </c>
      <c r="AS46" s="466" t="s">
        <v>1071</v>
      </c>
      <c r="AT46" s="461">
        <f t="shared" si="20"/>
        <v>1.1848617299999999</v>
      </c>
      <c r="AU46" s="462"/>
      <c r="AV46" s="463"/>
      <c r="AW46" s="464">
        <f t="shared" si="11"/>
        <v>1.1848617299999999</v>
      </c>
      <c r="AX46" s="465">
        <f t="shared" si="17"/>
        <v>44</v>
      </c>
      <c r="AY46" s="466">
        <f t="shared" si="12"/>
        <v>44</v>
      </c>
      <c r="AZ46" s="465">
        <f t="shared" si="18"/>
        <v>44</v>
      </c>
      <c r="BA46" s="466">
        <f t="shared" si="13"/>
        <v>44</v>
      </c>
      <c r="BB46" s="465">
        <f t="shared" si="14"/>
        <v>192</v>
      </c>
      <c r="BC46" s="425" t="str">
        <f t="shared" si="15"/>
        <v>e</v>
      </c>
      <c r="BD46" s="464">
        <f t="shared" si="16"/>
        <v>1.1848617299999999</v>
      </c>
      <c r="BE46" s="423"/>
      <c r="BF46" s="480" t="str">
        <v>-</v>
      </c>
      <c r="BG46" s="470" t="str">
        <v>-</v>
      </c>
      <c r="BH46" s="602"/>
      <c r="BI46" s="581" t="s">
        <v>1136</v>
      </c>
      <c r="BJ46" s="473">
        <f>_xll.RtGet($BN$7,$BN$8&amp;BI46&amp;$BN$9,$BJ$7)</f>
        <v>1.0924364930000001</v>
      </c>
      <c r="BK46" s="474">
        <f>_xll.RtGet($BN$7,$BN$8&amp;BI46&amp;$BN$9,$BK$7)</f>
        <v>1.0924364930000001</v>
      </c>
      <c r="BL46" s="423"/>
      <c r="BM46" s="426"/>
      <c r="BN46" s="426"/>
      <c r="BO46" s="421"/>
      <c r="BP46" s="644"/>
      <c r="BQ46" s="645"/>
      <c r="BR46" s="645"/>
      <c r="BS46" s="645"/>
      <c r="BT46" s="645"/>
      <c r="BU46" s="645"/>
      <c r="BV46" s="645"/>
      <c r="BW46" s="645"/>
      <c r="BX46" s="645"/>
      <c r="BY46" s="645"/>
      <c r="BZ46" s="645"/>
      <c r="CA46" s="645"/>
      <c r="CB46" s="645"/>
      <c r="CC46" s="645"/>
      <c r="CD46" s="645"/>
      <c r="CE46" s="645"/>
      <c r="CF46" s="645"/>
      <c r="CG46" s="645"/>
      <c r="CH46" s="645"/>
      <c r="CI46" s="645"/>
      <c r="CJ46" s="645"/>
      <c r="CK46" s="645"/>
      <c r="CL46" s="645"/>
      <c r="CM46" s="645"/>
      <c r="CN46" s="645"/>
      <c r="CO46" s="645"/>
      <c r="CP46" s="645"/>
      <c r="CQ46" s="645"/>
      <c r="CR46" s="645"/>
      <c r="CS46" s="645"/>
      <c r="CT46" s="645"/>
      <c r="CU46" s="645"/>
      <c r="CV46" s="645"/>
      <c r="CW46" s="645"/>
      <c r="CX46" s="645"/>
      <c r="CY46" s="645"/>
      <c r="CZ46" s="645"/>
      <c r="DA46" s="645"/>
      <c r="DB46" s="645"/>
      <c r="DC46" s="645"/>
      <c r="DD46" s="645"/>
      <c r="DE46" s="645"/>
      <c r="DF46" s="645"/>
      <c r="DG46" s="645"/>
      <c r="DH46" s="645"/>
      <c r="DI46" s="645"/>
      <c r="DJ46" s="645"/>
      <c r="DK46" s="645"/>
      <c r="DL46" s="645"/>
      <c r="DM46" s="645"/>
      <c r="DN46" s="645"/>
      <c r="DO46" s="645"/>
      <c r="DP46" s="645"/>
      <c r="DQ46" s="645"/>
      <c r="DR46" s="645"/>
      <c r="DS46" s="645"/>
      <c r="DT46" s="645"/>
      <c r="DU46" s="645"/>
      <c r="DV46" s="645"/>
      <c r="DW46" s="645"/>
      <c r="DX46" s="645"/>
      <c r="DY46" s="645"/>
      <c r="DZ46" s="645"/>
    </row>
    <row r="47" spans="1:130">
      <c r="A47" s="428"/>
      <c r="B47" s="606" t="s">
        <v>1141</v>
      </c>
      <c r="C47" s="597" t="s">
        <v>1069</v>
      </c>
      <c r="D47" s="423"/>
      <c r="E47" s="443" t="b">
        <v>1</v>
      </c>
      <c r="F47" s="591">
        <f t="shared" si="31"/>
        <v>9</v>
      </c>
      <c r="G47" s="423"/>
      <c r="H47" s="423"/>
      <c r="I47" s="461">
        <f t="shared" si="32"/>
        <v>0.92200000000000004</v>
      </c>
      <c r="J47" s="560"/>
      <c r="K47" s="463"/>
      <c r="L47" s="560">
        <f t="shared" si="33"/>
        <v>0.92200000000000004</v>
      </c>
      <c r="M47" s="465">
        <f t="shared" si="38"/>
        <v>9</v>
      </c>
      <c r="N47" s="466">
        <f t="shared" si="34"/>
        <v>9</v>
      </c>
      <c r="O47" s="465">
        <f t="shared" si="39"/>
        <v>9</v>
      </c>
      <c r="P47" s="466">
        <f t="shared" si="35"/>
        <v>11</v>
      </c>
      <c r="Q47" s="423"/>
      <c r="R47" s="592">
        <f t="shared" si="36"/>
        <v>11</v>
      </c>
      <c r="S47" s="464">
        <f t="shared" si="37"/>
        <v>1.102012786</v>
      </c>
      <c r="T47" s="423"/>
      <c r="U47" s="469">
        <v>51945</v>
      </c>
      <c r="V47" s="470">
        <v>0.68626575308027116</v>
      </c>
      <c r="W47" s="602"/>
      <c r="X47" s="582">
        <v>5</v>
      </c>
      <c r="Y47" s="473">
        <f>_xll.RtGet($AE$42,$AE$43&amp;$X47&amp;$AE$44,Y$42)</f>
        <v>0.41200000000000003</v>
      </c>
      <c r="Z47" s="474">
        <f>_xll.RtGet($AE$42,$AE$43&amp;$X47&amp;$AE$44,Z$42)</f>
        <v>0.41200000000000003</v>
      </c>
      <c r="AA47" s="423"/>
      <c r="AB47" s="423"/>
      <c r="AC47" s="423"/>
      <c r="AD47" s="423"/>
      <c r="AE47" s="423"/>
      <c r="AF47" s="426"/>
      <c r="AG47" s="420"/>
      <c r="AH47" s="420"/>
      <c r="AI47" s="420"/>
      <c r="AJ47" s="420"/>
      <c r="AK47" s="426"/>
      <c r="AL47" s="422"/>
      <c r="AM47" s="426"/>
      <c r="AN47" s="426"/>
      <c r="AO47" s="423"/>
      <c r="AP47" s="478" t="b">
        <v>1</v>
      </c>
      <c r="AQ47" s="582" t="str">
        <f t="shared" si="19"/>
        <v>17Y</v>
      </c>
      <c r="AR47" s="425">
        <f t="shared" si="10"/>
        <v>204</v>
      </c>
      <c r="AS47" s="466" t="s">
        <v>1071</v>
      </c>
      <c r="AT47" s="461">
        <f t="shared" si="20"/>
        <v>1.22169576</v>
      </c>
      <c r="AU47" s="462"/>
      <c r="AV47" s="463"/>
      <c r="AW47" s="464">
        <f t="shared" si="11"/>
        <v>1.22169576</v>
      </c>
      <c r="AX47" s="465">
        <f t="shared" si="17"/>
        <v>45</v>
      </c>
      <c r="AY47" s="466">
        <f t="shared" si="12"/>
        <v>45</v>
      </c>
      <c r="AZ47" s="465">
        <f t="shared" si="18"/>
        <v>45</v>
      </c>
      <c r="BA47" s="466">
        <f t="shared" si="13"/>
        <v>45</v>
      </c>
      <c r="BB47" s="465">
        <f t="shared" si="14"/>
        <v>204</v>
      </c>
      <c r="BC47" s="425" t="str">
        <f t="shared" si="15"/>
        <v>e</v>
      </c>
      <c r="BD47" s="464">
        <f t="shared" si="16"/>
        <v>1.22169576</v>
      </c>
      <c r="BE47" s="423"/>
      <c r="BF47" s="480" t="str">
        <v>-</v>
      </c>
      <c r="BG47" s="470" t="str">
        <v>-</v>
      </c>
      <c r="BH47" s="602"/>
      <c r="BI47" s="581" t="s">
        <v>1138</v>
      </c>
      <c r="BJ47" s="473">
        <f>_xll.RtGet($BN$7,$BN$8&amp;BI47&amp;$BN$9,$BJ$7)</f>
        <v>1.1419999920000001</v>
      </c>
      <c r="BK47" s="474">
        <f>_xll.RtGet($BN$7,$BN$8&amp;BI47&amp;$BN$9,$BK$7)</f>
        <v>1.1419999920000001</v>
      </c>
      <c r="BL47" s="423"/>
      <c r="BM47" s="426"/>
      <c r="BN47" s="426"/>
      <c r="BO47" s="421"/>
      <c r="BP47" s="644"/>
      <c r="BQ47" s="645"/>
      <c r="BR47" s="645"/>
      <c r="BS47" s="645"/>
      <c r="BT47" s="645"/>
      <c r="BU47" s="645"/>
      <c r="BV47" s="645"/>
      <c r="BW47" s="645"/>
      <c r="BX47" s="645"/>
      <c r="BY47" s="645"/>
      <c r="BZ47" s="645"/>
      <c r="CA47" s="645"/>
      <c r="CB47" s="645"/>
      <c r="CC47" s="645"/>
      <c r="CD47" s="645"/>
      <c r="CE47" s="645"/>
      <c r="CF47" s="645"/>
      <c r="CG47" s="645"/>
      <c r="CH47" s="645"/>
      <c r="CI47" s="645"/>
      <c r="CJ47" s="645"/>
      <c r="CK47" s="645"/>
      <c r="CL47" s="645"/>
      <c r="CM47" s="645"/>
      <c r="CN47" s="645"/>
      <c r="CO47" s="645"/>
      <c r="CP47" s="645"/>
      <c r="CQ47" s="645"/>
      <c r="CR47" s="645"/>
      <c r="CS47" s="645"/>
      <c r="CT47" s="645"/>
      <c r="CU47" s="645"/>
      <c r="CV47" s="645"/>
      <c r="CW47" s="645"/>
      <c r="CX47" s="645"/>
      <c r="CY47" s="645"/>
      <c r="CZ47" s="645"/>
      <c r="DA47" s="645"/>
      <c r="DB47" s="645"/>
      <c r="DC47" s="645"/>
      <c r="DD47" s="645"/>
      <c r="DE47" s="645"/>
      <c r="DF47" s="645"/>
      <c r="DG47" s="645"/>
      <c r="DH47" s="645"/>
      <c r="DI47" s="645"/>
      <c r="DJ47" s="645"/>
      <c r="DK47" s="645"/>
      <c r="DL47" s="645"/>
      <c r="DM47" s="645"/>
      <c r="DN47" s="645"/>
      <c r="DO47" s="645"/>
      <c r="DP47" s="645"/>
      <c r="DQ47" s="645"/>
      <c r="DR47" s="645"/>
      <c r="DS47" s="645"/>
      <c r="DT47" s="645"/>
      <c r="DU47" s="645"/>
      <c r="DV47" s="645"/>
      <c r="DW47" s="645"/>
      <c r="DX47" s="645"/>
      <c r="DY47" s="645"/>
      <c r="DZ47" s="645"/>
    </row>
    <row r="48" spans="1:130">
      <c r="A48" s="428"/>
      <c r="B48" s="607" t="s">
        <v>1143</v>
      </c>
      <c r="C48" s="599">
        <v>1</v>
      </c>
      <c r="D48" s="423"/>
      <c r="E48" s="443" t="b">
        <v>1</v>
      </c>
      <c r="F48" s="591">
        <f t="shared" si="31"/>
        <v>10</v>
      </c>
      <c r="G48" s="423"/>
      <c r="H48" s="423"/>
      <c r="I48" s="461">
        <f t="shared" si="32"/>
        <v>1.0170000000000001</v>
      </c>
      <c r="J48" s="560"/>
      <c r="K48" s="463"/>
      <c r="L48" s="560">
        <f t="shared" si="33"/>
        <v>1.0170000000000001</v>
      </c>
      <c r="M48" s="465">
        <f t="shared" si="38"/>
        <v>10</v>
      </c>
      <c r="N48" s="466">
        <f t="shared" si="34"/>
        <v>10</v>
      </c>
      <c r="O48" s="465">
        <f t="shared" si="39"/>
        <v>10</v>
      </c>
      <c r="P48" s="466">
        <f t="shared" si="35"/>
        <v>12</v>
      </c>
      <c r="Q48" s="423"/>
      <c r="R48" s="592">
        <f t="shared" si="36"/>
        <v>12</v>
      </c>
      <c r="S48" s="464">
        <f t="shared" si="37"/>
        <v>1.177</v>
      </c>
      <c r="T48" s="423"/>
      <c r="U48" s="469">
        <v>52310</v>
      </c>
      <c r="V48" s="470">
        <v>0.6753067766567592</v>
      </c>
      <c r="W48" s="426"/>
      <c r="X48" s="582">
        <v>6</v>
      </c>
      <c r="Y48" s="473">
        <f>_xll.RtGet($AE$42,$AE$43&amp;$X48&amp;$AE$44,Y$42)</f>
        <v>0.56400000000000006</v>
      </c>
      <c r="Z48" s="474">
        <f>_xll.RtGet($AE$42,$AE$43&amp;$X48&amp;$AE$44,Z$42)</f>
        <v>0.56400000000000006</v>
      </c>
      <c r="AA48" s="423"/>
      <c r="AB48" s="423"/>
      <c r="AC48" s="423"/>
      <c r="AD48" s="423"/>
      <c r="AE48" s="423"/>
      <c r="AF48" s="426"/>
      <c r="AG48" s="420"/>
      <c r="AH48" s="420"/>
      <c r="AI48" s="420"/>
      <c r="AJ48" s="420"/>
      <c r="AK48" s="426"/>
      <c r="AL48" s="422"/>
      <c r="AM48" s="426"/>
      <c r="AN48" s="426"/>
      <c r="AO48" s="423"/>
      <c r="AP48" s="478" t="b">
        <v>1</v>
      </c>
      <c r="AQ48" s="582" t="str">
        <f t="shared" si="19"/>
        <v>18Y</v>
      </c>
      <c r="AR48" s="425">
        <f t="shared" si="10"/>
        <v>216</v>
      </c>
      <c r="AS48" s="466" t="s">
        <v>1071</v>
      </c>
      <c r="AT48" s="461">
        <f t="shared" si="20"/>
        <v>1.252918255</v>
      </c>
      <c r="AU48" s="462"/>
      <c r="AV48" s="463"/>
      <c r="AW48" s="464">
        <f t="shared" si="11"/>
        <v>1.252918255</v>
      </c>
      <c r="AX48" s="465">
        <f t="shared" si="17"/>
        <v>46</v>
      </c>
      <c r="AY48" s="466">
        <f t="shared" si="12"/>
        <v>46</v>
      </c>
      <c r="AZ48" s="465">
        <f t="shared" si="18"/>
        <v>46</v>
      </c>
      <c r="BA48" s="466">
        <f t="shared" si="13"/>
        <v>46</v>
      </c>
      <c r="BB48" s="465">
        <f t="shared" si="14"/>
        <v>216</v>
      </c>
      <c r="BC48" s="425" t="str">
        <f t="shared" si="15"/>
        <v>e</v>
      </c>
      <c r="BD48" s="464">
        <f t="shared" si="16"/>
        <v>1.252918255</v>
      </c>
      <c r="BE48" s="423"/>
      <c r="BF48" s="480" t="str">
        <v>-</v>
      </c>
      <c r="BG48" s="470" t="str">
        <v>-</v>
      </c>
      <c r="BH48" s="426"/>
      <c r="BI48" s="581" t="s">
        <v>1140</v>
      </c>
      <c r="BJ48" s="473">
        <f>_xll.RtGet($BN$7,$BN$8&amp;BI48&amp;$BN$9,$BJ$7)</f>
        <v>1.1848617299999999</v>
      </c>
      <c r="BK48" s="474">
        <f>_xll.RtGet($BN$7,$BN$8&amp;BI48&amp;$BN$9,$BK$7)</f>
        <v>1.1848617299999999</v>
      </c>
      <c r="BL48" s="423"/>
      <c r="BM48" s="426"/>
      <c r="BN48" s="426"/>
      <c r="BO48" s="421"/>
      <c r="BP48" s="644"/>
      <c r="BQ48" s="645"/>
      <c r="BR48" s="645"/>
      <c r="BS48" s="645"/>
      <c r="BT48" s="645"/>
      <c r="BU48" s="645"/>
      <c r="BV48" s="645"/>
      <c r="BW48" s="645"/>
      <c r="BX48" s="645"/>
      <c r="BY48" s="645"/>
      <c r="BZ48" s="645"/>
      <c r="CA48" s="645"/>
      <c r="CB48" s="645"/>
      <c r="CC48" s="645"/>
      <c r="CD48" s="645"/>
      <c r="CE48" s="645"/>
      <c r="CF48" s="645"/>
      <c r="CG48" s="645"/>
      <c r="CH48" s="645"/>
      <c r="CI48" s="645"/>
      <c r="CJ48" s="645"/>
      <c r="CK48" s="645"/>
      <c r="CL48" s="645"/>
      <c r="CM48" s="645"/>
      <c r="CN48" s="645"/>
      <c r="CO48" s="645"/>
      <c r="CP48" s="645"/>
      <c r="CQ48" s="645"/>
      <c r="CR48" s="645"/>
      <c r="CS48" s="645"/>
      <c r="CT48" s="645"/>
      <c r="CU48" s="645"/>
      <c r="CV48" s="645"/>
      <c r="CW48" s="645"/>
      <c r="CX48" s="645"/>
      <c r="CY48" s="645"/>
      <c r="CZ48" s="645"/>
      <c r="DA48" s="645"/>
      <c r="DB48" s="645"/>
      <c r="DC48" s="645"/>
      <c r="DD48" s="645"/>
      <c r="DE48" s="645"/>
      <c r="DF48" s="645"/>
      <c r="DG48" s="645"/>
      <c r="DH48" s="645"/>
      <c r="DI48" s="645"/>
      <c r="DJ48" s="645"/>
      <c r="DK48" s="645"/>
      <c r="DL48" s="645"/>
      <c r="DM48" s="645"/>
      <c r="DN48" s="645"/>
      <c r="DO48" s="645"/>
      <c r="DP48" s="645"/>
      <c r="DQ48" s="645"/>
      <c r="DR48" s="645"/>
      <c r="DS48" s="645"/>
      <c r="DT48" s="645"/>
      <c r="DU48" s="645"/>
      <c r="DV48" s="645"/>
      <c r="DW48" s="645"/>
      <c r="DX48" s="645"/>
      <c r="DY48" s="645"/>
      <c r="DZ48" s="645"/>
    </row>
    <row r="49" spans="1:130">
      <c r="A49" s="428"/>
      <c r="B49" s="607" t="s">
        <v>1145</v>
      </c>
      <c r="C49" s="599" t="s">
        <v>1047</v>
      </c>
      <c r="D49" s="423"/>
      <c r="E49" s="443" t="b">
        <v>1</v>
      </c>
      <c r="F49" s="591">
        <f t="shared" si="31"/>
        <v>11</v>
      </c>
      <c r="G49" s="423"/>
      <c r="H49" s="423"/>
      <c r="I49" s="461">
        <f t="shared" si="32"/>
        <v>1.102012786</v>
      </c>
      <c r="J49" s="560"/>
      <c r="K49" s="463"/>
      <c r="L49" s="560">
        <f t="shared" si="33"/>
        <v>1.102012786</v>
      </c>
      <c r="M49" s="465">
        <f t="shared" si="38"/>
        <v>11</v>
      </c>
      <c r="N49" s="466">
        <f t="shared" si="34"/>
        <v>11</v>
      </c>
      <c r="O49" s="465">
        <f t="shared" si="39"/>
        <v>11</v>
      </c>
      <c r="P49" s="466">
        <f t="shared" si="35"/>
        <v>13</v>
      </c>
      <c r="Q49" s="423"/>
      <c r="R49" s="592">
        <f t="shared" si="36"/>
        <v>13</v>
      </c>
      <c r="S49" s="464">
        <f t="shared" si="37"/>
        <v>1.242218797</v>
      </c>
      <c r="T49" s="423"/>
      <c r="U49" s="469">
        <v>52677</v>
      </c>
      <c r="V49" s="470">
        <v>0.66465613149976477</v>
      </c>
      <c r="W49" s="426"/>
      <c r="X49" s="582">
        <v>7</v>
      </c>
      <c r="Y49" s="473">
        <f>_xll.RtGet($AE$42,$AE$43&amp;$X49&amp;$AE$44,Y$42)</f>
        <v>0.69700000000000006</v>
      </c>
      <c r="Z49" s="474">
        <f>_xll.RtGet($AE$42,$AE$43&amp;$X49&amp;$AE$44,Z$42)</f>
        <v>0.69700000000000006</v>
      </c>
      <c r="AA49" s="423"/>
      <c r="AB49" s="423"/>
      <c r="AC49" s="423"/>
      <c r="AD49" s="423"/>
      <c r="AE49" s="423"/>
      <c r="AF49" s="426"/>
      <c r="AG49" s="420"/>
      <c r="AH49" s="420"/>
      <c r="AI49" s="420"/>
      <c r="AJ49" s="420"/>
      <c r="AK49" s="426"/>
      <c r="AL49" s="422"/>
      <c r="AM49" s="426"/>
      <c r="AN49" s="426"/>
      <c r="AO49" s="423"/>
      <c r="AP49" s="478" t="b">
        <v>1</v>
      </c>
      <c r="AQ49" s="582" t="str">
        <f t="shared" si="19"/>
        <v>19Y</v>
      </c>
      <c r="AR49" s="425">
        <f t="shared" si="10"/>
        <v>228</v>
      </c>
      <c r="AS49" s="466" t="s">
        <v>1071</v>
      </c>
      <c r="AT49" s="461">
        <f t="shared" si="20"/>
        <v>1.278807461</v>
      </c>
      <c r="AU49" s="462"/>
      <c r="AV49" s="463"/>
      <c r="AW49" s="464">
        <f t="shared" si="11"/>
        <v>1.278807461</v>
      </c>
      <c r="AX49" s="465">
        <f t="shared" si="17"/>
        <v>47</v>
      </c>
      <c r="AY49" s="466">
        <f t="shared" si="12"/>
        <v>47</v>
      </c>
      <c r="AZ49" s="465">
        <f t="shared" si="18"/>
        <v>47</v>
      </c>
      <c r="BA49" s="466">
        <f t="shared" si="13"/>
        <v>47</v>
      </c>
      <c r="BB49" s="465">
        <f t="shared" si="14"/>
        <v>228</v>
      </c>
      <c r="BC49" s="425" t="str">
        <f t="shared" si="15"/>
        <v>e</v>
      </c>
      <c r="BD49" s="464">
        <f t="shared" si="16"/>
        <v>1.278807461</v>
      </c>
      <c r="BE49" s="423"/>
      <c r="BF49" s="480" t="str">
        <v>-</v>
      </c>
      <c r="BG49" s="470" t="str">
        <v>-</v>
      </c>
      <c r="BH49" s="426"/>
      <c r="BI49" s="581" t="s">
        <v>1142</v>
      </c>
      <c r="BJ49" s="473">
        <f>_xll.RtGet($BN$7,$BN$8&amp;BI49&amp;$BN$9,$BJ$7)</f>
        <v>1.22169576</v>
      </c>
      <c r="BK49" s="474">
        <f>_xll.RtGet($BN$7,$BN$8&amp;BI49&amp;$BN$9,$BK$7)</f>
        <v>1.22169576</v>
      </c>
      <c r="BL49" s="423"/>
      <c r="BM49" s="426"/>
      <c r="BN49" s="426"/>
      <c r="BO49" s="421"/>
      <c r="BP49" s="644"/>
      <c r="BQ49" s="645"/>
      <c r="BR49" s="645"/>
      <c r="BS49" s="645"/>
      <c r="BT49" s="645"/>
      <c r="BU49" s="645"/>
      <c r="BV49" s="645"/>
      <c r="BW49" s="645"/>
      <c r="BX49" s="645"/>
      <c r="BY49" s="645"/>
      <c r="BZ49" s="645"/>
      <c r="CA49" s="645"/>
      <c r="CB49" s="645"/>
      <c r="CC49" s="645"/>
      <c r="CD49" s="645"/>
      <c r="CE49" s="645"/>
      <c r="CF49" s="645"/>
      <c r="CG49" s="645"/>
      <c r="CH49" s="645"/>
      <c r="CI49" s="645"/>
      <c r="CJ49" s="645"/>
      <c r="CK49" s="645"/>
      <c r="CL49" s="645"/>
      <c r="CM49" s="645"/>
      <c r="CN49" s="645"/>
      <c r="CO49" s="645"/>
      <c r="CP49" s="645"/>
      <c r="CQ49" s="645"/>
      <c r="CR49" s="645"/>
      <c r="CS49" s="645"/>
      <c r="CT49" s="645"/>
      <c r="CU49" s="645"/>
      <c r="CV49" s="645"/>
      <c r="CW49" s="645"/>
      <c r="CX49" s="645"/>
      <c r="CY49" s="645"/>
      <c r="CZ49" s="645"/>
      <c r="DA49" s="645"/>
      <c r="DB49" s="645"/>
      <c r="DC49" s="645"/>
      <c r="DD49" s="645"/>
      <c r="DE49" s="645"/>
      <c r="DF49" s="645"/>
      <c r="DG49" s="645"/>
      <c r="DH49" s="645"/>
      <c r="DI49" s="645"/>
      <c r="DJ49" s="645"/>
      <c r="DK49" s="645"/>
      <c r="DL49" s="645"/>
      <c r="DM49" s="645"/>
      <c r="DN49" s="645"/>
      <c r="DO49" s="645"/>
      <c r="DP49" s="645"/>
      <c r="DQ49" s="645"/>
      <c r="DR49" s="645"/>
      <c r="DS49" s="645"/>
      <c r="DT49" s="645"/>
      <c r="DU49" s="645"/>
      <c r="DV49" s="645"/>
      <c r="DW49" s="645"/>
      <c r="DX49" s="645"/>
      <c r="DY49" s="645"/>
      <c r="DZ49" s="645"/>
    </row>
    <row r="50" spans="1:130">
      <c r="A50" s="428"/>
      <c r="B50" s="607" t="s">
        <v>1147</v>
      </c>
      <c r="C50" s="608">
        <v>2</v>
      </c>
      <c r="D50" s="423"/>
      <c r="E50" s="443" t="b">
        <v>1</v>
      </c>
      <c r="F50" s="591">
        <f t="shared" si="31"/>
        <v>12</v>
      </c>
      <c r="G50" s="423"/>
      <c r="H50" s="423"/>
      <c r="I50" s="461">
        <f t="shared" si="32"/>
        <v>1.177</v>
      </c>
      <c r="J50" s="560"/>
      <c r="K50" s="463"/>
      <c r="L50" s="560">
        <f t="shared" si="33"/>
        <v>1.177</v>
      </c>
      <c r="M50" s="465">
        <f t="shared" si="38"/>
        <v>12</v>
      </c>
      <c r="N50" s="466">
        <f t="shared" si="34"/>
        <v>12</v>
      </c>
      <c r="O50" s="465">
        <f t="shared" si="39"/>
        <v>12</v>
      </c>
      <c r="P50" s="466">
        <f t="shared" si="35"/>
        <v>14</v>
      </c>
      <c r="Q50" s="423"/>
      <c r="R50" s="592">
        <f t="shared" si="36"/>
        <v>14</v>
      </c>
      <c r="S50" s="464">
        <f t="shared" si="37"/>
        <v>1.299095525</v>
      </c>
      <c r="T50" s="423"/>
      <c r="U50" s="469">
        <v>53041</v>
      </c>
      <c r="V50" s="470">
        <v>0.65434034166568933</v>
      </c>
      <c r="W50" s="426"/>
      <c r="X50" s="582">
        <v>8</v>
      </c>
      <c r="Y50" s="473">
        <f>_xll.RtGet($AE$42,$AE$43&amp;$X50&amp;$AE$44,Y$42)</f>
        <v>0.81600000000000006</v>
      </c>
      <c r="Z50" s="474">
        <f>_xll.RtGet($AE$42,$AE$43&amp;$X50&amp;$AE$44,Z$42)</f>
        <v>0.81600000000000006</v>
      </c>
      <c r="AA50" s="423"/>
      <c r="AB50" s="423"/>
      <c r="AC50" s="423"/>
      <c r="AD50" s="423"/>
      <c r="AE50" s="423"/>
      <c r="AF50" s="426"/>
      <c r="AG50" s="420"/>
      <c r="AH50" s="420"/>
      <c r="AI50" s="420"/>
      <c r="AJ50" s="420"/>
      <c r="AK50" s="426"/>
      <c r="AL50" s="422"/>
      <c r="AM50" s="426"/>
      <c r="AN50" s="426"/>
      <c r="AO50" s="423"/>
      <c r="AP50" s="478" t="b">
        <v>1</v>
      </c>
      <c r="AQ50" s="582" t="str">
        <f t="shared" si="19"/>
        <v>20Y</v>
      </c>
      <c r="AR50" s="425">
        <f t="shared" si="10"/>
        <v>240</v>
      </c>
      <c r="AS50" s="466" t="s">
        <v>1071</v>
      </c>
      <c r="AT50" s="461">
        <f t="shared" si="20"/>
        <v>1.2999999720000002</v>
      </c>
      <c r="AU50" s="462"/>
      <c r="AV50" s="463"/>
      <c r="AW50" s="464">
        <f t="shared" si="11"/>
        <v>1.2999999720000002</v>
      </c>
      <c r="AX50" s="465">
        <f t="shared" si="17"/>
        <v>48</v>
      </c>
      <c r="AY50" s="466">
        <f t="shared" si="12"/>
        <v>48</v>
      </c>
      <c r="AZ50" s="465">
        <f t="shared" si="18"/>
        <v>48</v>
      </c>
      <c r="BA50" s="466">
        <f t="shared" si="13"/>
        <v>48</v>
      </c>
      <c r="BB50" s="465">
        <f t="shared" si="14"/>
        <v>240</v>
      </c>
      <c r="BC50" s="425" t="str">
        <f t="shared" si="15"/>
        <v>e</v>
      </c>
      <c r="BD50" s="464">
        <f t="shared" si="16"/>
        <v>1.2999999720000002</v>
      </c>
      <c r="BE50" s="423"/>
      <c r="BF50" s="480" t="str">
        <v>-</v>
      </c>
      <c r="BG50" s="470" t="str">
        <v>-</v>
      </c>
      <c r="BH50" s="426"/>
      <c r="BI50" s="581" t="s">
        <v>1144</v>
      </c>
      <c r="BJ50" s="473">
        <f>_xll.RtGet($BN$7,$BN$8&amp;BI50&amp;$BN$9,$BJ$7)</f>
        <v>1.252918255</v>
      </c>
      <c r="BK50" s="474">
        <f>_xll.RtGet($BN$7,$BN$8&amp;BI50&amp;$BN$9,$BK$7)</f>
        <v>1.252918255</v>
      </c>
      <c r="BL50" s="423"/>
      <c r="BM50" s="426"/>
      <c r="BN50" s="426"/>
      <c r="BO50" s="421"/>
      <c r="BP50" s="644"/>
      <c r="BQ50" s="645"/>
      <c r="BR50" s="645"/>
      <c r="BS50" s="645"/>
      <c r="BT50" s="645"/>
      <c r="BU50" s="645"/>
      <c r="BV50" s="645"/>
      <c r="BW50" s="645"/>
      <c r="BX50" s="645"/>
      <c r="BY50" s="645"/>
      <c r="BZ50" s="645"/>
      <c r="CA50" s="645"/>
      <c r="CB50" s="645"/>
      <c r="CC50" s="645"/>
      <c r="CD50" s="645"/>
      <c r="CE50" s="645"/>
      <c r="CF50" s="645"/>
      <c r="CG50" s="645"/>
      <c r="CH50" s="645"/>
      <c r="CI50" s="645"/>
      <c r="CJ50" s="645"/>
      <c r="CK50" s="645"/>
      <c r="CL50" s="645"/>
      <c r="CM50" s="645"/>
      <c r="CN50" s="645"/>
      <c r="CO50" s="645"/>
      <c r="CP50" s="645"/>
      <c r="CQ50" s="645"/>
      <c r="CR50" s="645"/>
      <c r="CS50" s="645"/>
      <c r="CT50" s="645"/>
      <c r="CU50" s="645"/>
      <c r="CV50" s="645"/>
      <c r="CW50" s="645"/>
      <c r="CX50" s="645"/>
      <c r="CY50" s="645"/>
      <c r="CZ50" s="645"/>
      <c r="DA50" s="645"/>
      <c r="DB50" s="645"/>
      <c r="DC50" s="645"/>
      <c r="DD50" s="645"/>
      <c r="DE50" s="645"/>
      <c r="DF50" s="645"/>
      <c r="DG50" s="645"/>
      <c r="DH50" s="645"/>
      <c r="DI50" s="645"/>
      <c r="DJ50" s="645"/>
      <c r="DK50" s="645"/>
      <c r="DL50" s="645"/>
      <c r="DM50" s="645"/>
      <c r="DN50" s="645"/>
      <c r="DO50" s="645"/>
      <c r="DP50" s="645"/>
      <c r="DQ50" s="645"/>
      <c r="DR50" s="645"/>
      <c r="DS50" s="645"/>
      <c r="DT50" s="645"/>
      <c r="DU50" s="645"/>
      <c r="DV50" s="645"/>
      <c r="DW50" s="645"/>
      <c r="DX50" s="645"/>
      <c r="DY50" s="645"/>
      <c r="DZ50" s="645"/>
    </row>
    <row r="51" spans="1:130">
      <c r="A51" s="428"/>
      <c r="B51" s="609" t="s">
        <v>1149</v>
      </c>
      <c r="C51" s="495" t="s">
        <v>1034</v>
      </c>
      <c r="D51" s="423"/>
      <c r="E51" s="443" t="b">
        <v>1</v>
      </c>
      <c r="F51" s="591">
        <f t="shared" si="31"/>
        <v>13</v>
      </c>
      <c r="G51" s="423"/>
      <c r="H51" s="423"/>
      <c r="I51" s="461">
        <f t="shared" si="32"/>
        <v>1.242218797</v>
      </c>
      <c r="J51" s="560"/>
      <c r="K51" s="463"/>
      <c r="L51" s="560">
        <f t="shared" si="33"/>
        <v>1.242218797</v>
      </c>
      <c r="M51" s="465">
        <f t="shared" si="38"/>
        <v>13</v>
      </c>
      <c r="N51" s="466">
        <f t="shared" si="34"/>
        <v>13</v>
      </c>
      <c r="O51" s="465">
        <f t="shared" si="39"/>
        <v>13</v>
      </c>
      <c r="P51" s="466">
        <f t="shared" si="35"/>
        <v>15</v>
      </c>
      <c r="Q51" s="423"/>
      <c r="R51" s="592">
        <f t="shared" si="36"/>
        <v>15</v>
      </c>
      <c r="S51" s="464">
        <f t="shared" si="37"/>
        <v>1.347</v>
      </c>
      <c r="T51" s="423"/>
      <c r="U51" s="469">
        <v>53406</v>
      </c>
      <c r="V51" s="470">
        <v>0.64424227417760194</v>
      </c>
      <c r="W51" s="426"/>
      <c r="X51" s="582">
        <v>9</v>
      </c>
      <c r="Y51" s="473">
        <f>_xll.RtGet($AE$42,$AE$43&amp;$X51&amp;$AE$44,Y$42)</f>
        <v>0.92200000000000004</v>
      </c>
      <c r="Z51" s="474">
        <f>_xll.RtGet($AE$42,$AE$43&amp;$X51&amp;$AE$44,Z$42)</f>
        <v>0.92200000000000004</v>
      </c>
      <c r="AA51" s="423"/>
      <c r="AB51" s="423"/>
      <c r="AC51" s="423"/>
      <c r="AD51" s="423"/>
      <c r="AE51" s="423"/>
      <c r="AF51" s="426"/>
      <c r="AG51" s="420"/>
      <c r="AH51" s="420"/>
      <c r="AI51" s="420"/>
      <c r="AJ51" s="420"/>
      <c r="AK51" s="426"/>
      <c r="AL51" s="422"/>
      <c r="AM51" s="426"/>
      <c r="AN51" s="426"/>
      <c r="AO51" s="423"/>
      <c r="AP51" s="478" t="b">
        <v>1</v>
      </c>
      <c r="AQ51" s="582" t="str">
        <f t="shared" si="19"/>
        <v>21Y</v>
      </c>
      <c r="AR51" s="425">
        <f t="shared" si="10"/>
        <v>252</v>
      </c>
      <c r="AS51" s="466" t="s">
        <v>1071</v>
      </c>
      <c r="AT51" s="461">
        <f t="shared" si="20"/>
        <v>1.316685718</v>
      </c>
      <c r="AU51" s="462"/>
      <c r="AV51" s="463"/>
      <c r="AW51" s="464">
        <f t="shared" si="11"/>
        <v>1.316685718</v>
      </c>
      <c r="AX51" s="465">
        <f t="shared" si="17"/>
        <v>49</v>
      </c>
      <c r="AY51" s="466">
        <f t="shared" si="12"/>
        <v>49</v>
      </c>
      <c r="AZ51" s="465">
        <f t="shared" si="18"/>
        <v>49</v>
      </c>
      <c r="BA51" s="466">
        <f t="shared" si="13"/>
        <v>49</v>
      </c>
      <c r="BB51" s="465">
        <f t="shared" si="14"/>
        <v>252</v>
      </c>
      <c r="BC51" s="425" t="str">
        <f t="shared" si="15"/>
        <v>e</v>
      </c>
      <c r="BD51" s="464">
        <f t="shared" si="16"/>
        <v>1.316685718</v>
      </c>
      <c r="BE51" s="423"/>
      <c r="BF51" s="480" t="str">
        <v>-</v>
      </c>
      <c r="BG51" s="470" t="str">
        <v>-</v>
      </c>
      <c r="BH51" s="426"/>
      <c r="BI51" s="581" t="s">
        <v>1146</v>
      </c>
      <c r="BJ51" s="473">
        <f>_xll.RtGet($BN$7,$BN$8&amp;BI51&amp;$BN$9,$BJ$7)</f>
        <v>1.278807461</v>
      </c>
      <c r="BK51" s="474">
        <f>_xll.RtGet($BN$7,$BN$8&amp;BI51&amp;$BN$9,$BK$7)</f>
        <v>1.278807461</v>
      </c>
      <c r="BL51" s="423"/>
      <c r="BM51" s="426"/>
      <c r="BN51" s="426"/>
      <c r="BO51" s="421"/>
      <c r="BP51" s="644"/>
      <c r="BQ51" s="645"/>
      <c r="BR51" s="645"/>
      <c r="BS51" s="645"/>
      <c r="BT51" s="645"/>
      <c r="BU51" s="645"/>
      <c r="BV51" s="645"/>
      <c r="BW51" s="645"/>
      <c r="BX51" s="645"/>
      <c r="BY51" s="645"/>
      <c r="BZ51" s="645"/>
      <c r="CA51" s="645"/>
      <c r="CB51" s="645"/>
      <c r="CC51" s="645"/>
      <c r="CD51" s="645"/>
      <c r="CE51" s="645"/>
      <c r="CF51" s="645"/>
      <c r="CG51" s="645"/>
      <c r="CH51" s="645"/>
      <c r="CI51" s="645"/>
      <c r="CJ51" s="645"/>
      <c r="CK51" s="645"/>
      <c r="CL51" s="645"/>
      <c r="CM51" s="645"/>
      <c r="CN51" s="645"/>
      <c r="CO51" s="645"/>
      <c r="CP51" s="645"/>
      <c r="CQ51" s="645"/>
      <c r="CR51" s="645"/>
      <c r="CS51" s="645"/>
      <c r="CT51" s="645"/>
      <c r="CU51" s="645"/>
      <c r="CV51" s="645"/>
      <c r="CW51" s="645"/>
      <c r="CX51" s="645"/>
      <c r="CY51" s="645"/>
      <c r="CZ51" s="645"/>
      <c r="DA51" s="645"/>
      <c r="DB51" s="645"/>
      <c r="DC51" s="645"/>
      <c r="DD51" s="645"/>
      <c r="DE51" s="645"/>
      <c r="DF51" s="645"/>
      <c r="DG51" s="645"/>
      <c r="DH51" s="645"/>
      <c r="DI51" s="645"/>
      <c r="DJ51" s="645"/>
      <c r="DK51" s="645"/>
      <c r="DL51" s="645"/>
      <c r="DM51" s="645"/>
      <c r="DN51" s="645"/>
      <c r="DO51" s="645"/>
      <c r="DP51" s="645"/>
      <c r="DQ51" s="645"/>
      <c r="DR51" s="645"/>
      <c r="DS51" s="645"/>
      <c r="DT51" s="645"/>
      <c r="DU51" s="645"/>
      <c r="DV51" s="645"/>
      <c r="DW51" s="645"/>
      <c r="DX51" s="645"/>
      <c r="DY51" s="645"/>
      <c r="DZ51" s="645"/>
    </row>
    <row r="52" spans="1:130">
      <c r="A52" s="610"/>
      <c r="B52" s="611" t="s">
        <v>1151</v>
      </c>
      <c r="C52" s="612" t="b">
        <f>IF(Z26=C26,TRUE,FALSE)</f>
        <v>1</v>
      </c>
      <c r="D52" s="423"/>
      <c r="E52" s="443" t="b">
        <v>1</v>
      </c>
      <c r="F52" s="591">
        <f t="shared" si="31"/>
        <v>14</v>
      </c>
      <c r="G52" s="423"/>
      <c r="H52" s="423"/>
      <c r="I52" s="461">
        <f t="shared" si="32"/>
        <v>1.299095525</v>
      </c>
      <c r="J52" s="560"/>
      <c r="K52" s="463"/>
      <c r="L52" s="560">
        <f t="shared" si="33"/>
        <v>1.299095525</v>
      </c>
      <c r="M52" s="465">
        <f t="shared" si="38"/>
        <v>14</v>
      </c>
      <c r="N52" s="466">
        <f t="shared" si="34"/>
        <v>14</v>
      </c>
      <c r="O52" s="465">
        <f t="shared" si="39"/>
        <v>14</v>
      </c>
      <c r="P52" s="466">
        <f t="shared" si="35"/>
        <v>16</v>
      </c>
      <c r="Q52" s="423"/>
      <c r="R52" s="592">
        <f t="shared" si="36"/>
        <v>16</v>
      </c>
      <c r="S52" s="464">
        <f t="shared" si="37"/>
        <v>1.387641554</v>
      </c>
      <c r="T52" s="423"/>
      <c r="U52" s="469">
        <v>53771</v>
      </c>
      <c r="V52" s="470">
        <v>0.63438860293896393</v>
      </c>
      <c r="W52" s="426"/>
      <c r="X52" s="582">
        <v>10</v>
      </c>
      <c r="Y52" s="473">
        <f>_xll.RtGet($AE$42,$AE$43&amp;$X52&amp;$AE$44,Y$42)</f>
        <v>1.0170000000000001</v>
      </c>
      <c r="Z52" s="474">
        <f>_xll.RtGet($AE$42,$AE$43&amp;$X52&amp;$AE$44,Z$42)</f>
        <v>1.0170000000000001</v>
      </c>
      <c r="AA52" s="423"/>
      <c r="AB52" s="423"/>
      <c r="AC52" s="423"/>
      <c r="AD52" s="423"/>
      <c r="AE52" s="423"/>
      <c r="AF52" s="426"/>
      <c r="AG52" s="420"/>
      <c r="AH52" s="420"/>
      <c r="AI52" s="420"/>
      <c r="AJ52" s="420"/>
      <c r="AK52" s="426"/>
      <c r="AL52" s="422"/>
      <c r="AM52" s="426"/>
      <c r="AN52" s="426"/>
      <c r="AO52" s="423"/>
      <c r="AP52" s="478" t="b">
        <v>1</v>
      </c>
      <c r="AQ52" s="582" t="str">
        <f t="shared" si="19"/>
        <v>22Y</v>
      </c>
      <c r="AR52" s="425">
        <f t="shared" si="10"/>
        <v>264</v>
      </c>
      <c r="AS52" s="466" t="s">
        <v>1071</v>
      </c>
      <c r="AT52" s="461">
        <f t="shared" si="20"/>
        <v>1.329715113</v>
      </c>
      <c r="AU52" s="462"/>
      <c r="AV52" s="463"/>
      <c r="AW52" s="464">
        <f t="shared" si="11"/>
        <v>1.329715113</v>
      </c>
      <c r="AX52" s="465">
        <f t="shared" si="17"/>
        <v>50</v>
      </c>
      <c r="AY52" s="466">
        <f t="shared" si="12"/>
        <v>50</v>
      </c>
      <c r="AZ52" s="465">
        <f t="shared" si="18"/>
        <v>50</v>
      </c>
      <c r="BA52" s="466">
        <f t="shared" si="13"/>
        <v>50</v>
      </c>
      <c r="BB52" s="465">
        <f t="shared" si="14"/>
        <v>264</v>
      </c>
      <c r="BC52" s="425" t="str">
        <f t="shared" si="15"/>
        <v>e</v>
      </c>
      <c r="BD52" s="464">
        <f t="shared" si="16"/>
        <v>1.329715113</v>
      </c>
      <c r="BE52" s="423"/>
      <c r="BF52" s="480" t="str">
        <v>-</v>
      </c>
      <c r="BG52" s="470" t="str">
        <v>-</v>
      </c>
      <c r="BH52" s="426"/>
      <c r="BI52" s="581" t="s">
        <v>1148</v>
      </c>
      <c r="BJ52" s="473">
        <f>_xll.RtGet($BN$7,$BN$8&amp;BI52&amp;$BN$9,$BJ$7)</f>
        <v>1.2999999720000002</v>
      </c>
      <c r="BK52" s="474">
        <f>_xll.RtGet($BN$7,$BN$8&amp;BI52&amp;$BN$9,$BK$7)</f>
        <v>1.2999999720000002</v>
      </c>
      <c r="BL52" s="423"/>
      <c r="BM52" s="426"/>
      <c r="BN52" s="426"/>
      <c r="BO52" s="421"/>
      <c r="BP52" s="644"/>
      <c r="BQ52" s="645"/>
      <c r="BR52" s="645"/>
      <c r="BS52" s="645"/>
      <c r="BT52" s="645"/>
      <c r="BU52" s="645"/>
      <c r="BV52" s="645"/>
      <c r="BW52" s="645"/>
      <c r="BX52" s="645"/>
      <c r="BY52" s="645"/>
      <c r="BZ52" s="645"/>
      <c r="CA52" s="645"/>
      <c r="CB52" s="645"/>
      <c r="CC52" s="645"/>
      <c r="CD52" s="645"/>
      <c r="CE52" s="645"/>
      <c r="CF52" s="645"/>
      <c r="CG52" s="645"/>
      <c r="CH52" s="645"/>
      <c r="CI52" s="645"/>
      <c r="CJ52" s="645"/>
      <c r="CK52" s="645"/>
      <c r="CL52" s="645"/>
      <c r="CM52" s="645"/>
      <c r="CN52" s="645"/>
      <c r="CO52" s="645"/>
      <c r="CP52" s="645"/>
      <c r="CQ52" s="645"/>
      <c r="CR52" s="645"/>
      <c r="CS52" s="645"/>
      <c r="CT52" s="645"/>
      <c r="CU52" s="645"/>
      <c r="CV52" s="645"/>
      <c r="CW52" s="645"/>
      <c r="CX52" s="645"/>
      <c r="CY52" s="645"/>
      <c r="CZ52" s="645"/>
      <c r="DA52" s="645"/>
      <c r="DB52" s="645"/>
      <c r="DC52" s="645"/>
      <c r="DD52" s="645"/>
      <c r="DE52" s="645"/>
      <c r="DF52" s="645"/>
      <c r="DG52" s="645"/>
      <c r="DH52" s="645"/>
      <c r="DI52" s="645"/>
      <c r="DJ52" s="645"/>
      <c r="DK52" s="645"/>
      <c r="DL52" s="645"/>
      <c r="DM52" s="645"/>
      <c r="DN52" s="645"/>
      <c r="DO52" s="645"/>
      <c r="DP52" s="645"/>
      <c r="DQ52" s="645"/>
      <c r="DR52" s="645"/>
      <c r="DS52" s="645"/>
      <c r="DT52" s="645"/>
      <c r="DU52" s="645"/>
      <c r="DV52" s="645"/>
      <c r="DW52" s="645"/>
      <c r="DX52" s="645"/>
      <c r="DY52" s="645"/>
      <c r="DZ52" s="645"/>
    </row>
    <row r="53" spans="1:130">
      <c r="A53" s="613"/>
      <c r="B53" s="426"/>
      <c r="C53" s="426"/>
      <c r="D53" s="423"/>
      <c r="E53" s="443" t="b">
        <v>1</v>
      </c>
      <c r="F53" s="591">
        <f t="shared" si="31"/>
        <v>15</v>
      </c>
      <c r="G53" s="423"/>
      <c r="H53" s="423"/>
      <c r="I53" s="461">
        <f t="shared" si="32"/>
        <v>1.347</v>
      </c>
      <c r="J53" s="560"/>
      <c r="K53" s="463"/>
      <c r="L53" s="560">
        <f t="shared" si="33"/>
        <v>1.347</v>
      </c>
      <c r="M53" s="465">
        <f t="shared" si="38"/>
        <v>15</v>
      </c>
      <c r="N53" s="466">
        <f t="shared" si="34"/>
        <v>15</v>
      </c>
      <c r="O53" s="465">
        <f t="shared" si="39"/>
        <v>15</v>
      </c>
      <c r="P53" s="466">
        <f t="shared" si="35"/>
        <v>17</v>
      </c>
      <c r="Q53" s="423"/>
      <c r="R53" s="592">
        <f t="shared" si="36"/>
        <v>17</v>
      </c>
      <c r="S53" s="464">
        <f t="shared" si="37"/>
        <v>1.4217797210000001</v>
      </c>
      <c r="T53" s="423"/>
      <c r="U53" s="469">
        <v>54137</v>
      </c>
      <c r="V53" s="470">
        <v>0.6247501182399201</v>
      </c>
      <c r="W53" s="426"/>
      <c r="X53" s="582">
        <v>11</v>
      </c>
      <c r="Y53" s="473">
        <f>_xll.RtGet($AE$42,$AE$43&amp;$X53&amp;$AE$44,Y$42)</f>
        <v>1.102012786</v>
      </c>
      <c r="Z53" s="474">
        <f>_xll.RtGet($AE$42,$AE$43&amp;$X53&amp;$AE$44,Z$42)</f>
        <v>1.102012786</v>
      </c>
      <c r="AA53" s="423"/>
      <c r="AB53" s="423"/>
      <c r="AC53" s="423"/>
      <c r="AD53" s="423"/>
      <c r="AE53" s="423"/>
      <c r="AF53" s="426"/>
      <c r="AG53" s="426"/>
      <c r="AH53" s="426"/>
      <c r="AI53" s="426"/>
      <c r="AJ53" s="426"/>
      <c r="AK53" s="426"/>
      <c r="AL53" s="422"/>
      <c r="AM53" s="426"/>
      <c r="AN53" s="426"/>
      <c r="AO53" s="423"/>
      <c r="AP53" s="478" t="b">
        <v>1</v>
      </c>
      <c r="AQ53" s="582" t="str">
        <f t="shared" si="19"/>
        <v>23Y</v>
      </c>
      <c r="AR53" s="425">
        <f t="shared" si="10"/>
        <v>276</v>
      </c>
      <c r="AS53" s="466" t="s">
        <v>1071</v>
      </c>
      <c r="AT53" s="461">
        <f t="shared" si="20"/>
        <v>1.3396883530000001</v>
      </c>
      <c r="AU53" s="462"/>
      <c r="AV53" s="463"/>
      <c r="AW53" s="464">
        <f t="shared" si="11"/>
        <v>1.3396883530000001</v>
      </c>
      <c r="AX53" s="465">
        <f t="shared" si="17"/>
        <v>51</v>
      </c>
      <c r="AY53" s="466">
        <f t="shared" si="12"/>
        <v>51</v>
      </c>
      <c r="AZ53" s="465">
        <f t="shared" si="18"/>
        <v>51</v>
      </c>
      <c r="BA53" s="466">
        <f t="shared" si="13"/>
        <v>51</v>
      </c>
      <c r="BB53" s="465">
        <f t="shared" si="14"/>
        <v>276</v>
      </c>
      <c r="BC53" s="425" t="str">
        <f t="shared" si="15"/>
        <v>e</v>
      </c>
      <c r="BD53" s="464">
        <f t="shared" si="16"/>
        <v>1.3396883530000001</v>
      </c>
      <c r="BE53" s="423"/>
      <c r="BF53" s="480" t="str">
        <v>-</v>
      </c>
      <c r="BG53" s="470" t="str">
        <v>-</v>
      </c>
      <c r="BH53" s="426"/>
      <c r="BI53" s="581" t="s">
        <v>1150</v>
      </c>
      <c r="BJ53" s="473">
        <f>_xll.RtGet($BN$7,$BN$8&amp;BI53&amp;$BN$9,$BJ$7)</f>
        <v>1.316685718</v>
      </c>
      <c r="BK53" s="474">
        <f>_xll.RtGet($BN$7,$BN$8&amp;BI53&amp;$BN$9,$BK$7)</f>
        <v>1.316685718</v>
      </c>
      <c r="BL53" s="423"/>
      <c r="BM53" s="426"/>
      <c r="BN53" s="426"/>
      <c r="BO53" s="421"/>
      <c r="BP53" s="644"/>
      <c r="BQ53" s="645"/>
      <c r="BR53" s="645"/>
      <c r="BS53" s="645"/>
      <c r="BT53" s="645"/>
      <c r="BU53" s="645"/>
      <c r="BV53" s="645"/>
      <c r="BW53" s="645"/>
      <c r="BX53" s="645"/>
      <c r="BY53" s="645"/>
      <c r="BZ53" s="645"/>
      <c r="CA53" s="645"/>
      <c r="CB53" s="645"/>
      <c r="CC53" s="645"/>
      <c r="CD53" s="645"/>
      <c r="CE53" s="645"/>
      <c r="CF53" s="645"/>
      <c r="CG53" s="645"/>
      <c r="CH53" s="645"/>
      <c r="CI53" s="645"/>
      <c r="CJ53" s="645"/>
      <c r="CK53" s="645"/>
      <c r="CL53" s="645"/>
      <c r="CM53" s="645"/>
      <c r="CN53" s="645"/>
      <c r="CO53" s="645"/>
      <c r="CP53" s="645"/>
      <c r="CQ53" s="645"/>
      <c r="CR53" s="645"/>
      <c r="CS53" s="645"/>
      <c r="CT53" s="645"/>
      <c r="CU53" s="645"/>
      <c r="CV53" s="645"/>
      <c r="CW53" s="645"/>
      <c r="CX53" s="645"/>
      <c r="CY53" s="645"/>
      <c r="CZ53" s="645"/>
      <c r="DA53" s="645"/>
      <c r="DB53" s="645"/>
      <c r="DC53" s="645"/>
      <c r="DD53" s="645"/>
      <c r="DE53" s="645"/>
      <c r="DF53" s="645"/>
      <c r="DG53" s="645"/>
      <c r="DH53" s="645"/>
      <c r="DI53" s="645"/>
      <c r="DJ53" s="645"/>
      <c r="DK53" s="645"/>
      <c r="DL53" s="645"/>
      <c r="DM53" s="645"/>
      <c r="DN53" s="645"/>
      <c r="DO53" s="645"/>
      <c r="DP53" s="645"/>
      <c r="DQ53" s="645"/>
      <c r="DR53" s="645"/>
      <c r="DS53" s="645"/>
      <c r="DT53" s="645"/>
      <c r="DU53" s="645"/>
      <c r="DV53" s="645"/>
      <c r="DW53" s="645"/>
      <c r="DX53" s="645"/>
      <c r="DY53" s="645"/>
      <c r="DZ53" s="645"/>
    </row>
    <row r="54" spans="1:130">
      <c r="A54" s="613"/>
      <c r="B54" s="519" t="s">
        <v>1154</v>
      </c>
      <c r="C54" s="519">
        <v>10000</v>
      </c>
      <c r="D54" s="423"/>
      <c r="E54" s="443" t="b">
        <v>1</v>
      </c>
      <c r="F54" s="591">
        <f t="shared" si="31"/>
        <v>16</v>
      </c>
      <c r="G54" s="423"/>
      <c r="H54" s="423"/>
      <c r="I54" s="461">
        <f t="shared" si="32"/>
        <v>1.387641554</v>
      </c>
      <c r="J54" s="560"/>
      <c r="K54" s="463"/>
      <c r="L54" s="560">
        <f t="shared" si="33"/>
        <v>1.387641554</v>
      </c>
      <c r="M54" s="465">
        <f t="shared" si="38"/>
        <v>16</v>
      </c>
      <c r="N54" s="466">
        <f t="shared" si="34"/>
        <v>16</v>
      </c>
      <c r="O54" s="465">
        <f t="shared" si="39"/>
        <v>16</v>
      </c>
      <c r="P54" s="466">
        <f t="shared" si="35"/>
        <v>18</v>
      </c>
      <c r="Q54" s="423"/>
      <c r="R54" s="592">
        <f t="shared" si="36"/>
        <v>18</v>
      </c>
      <c r="S54" s="464">
        <f t="shared" si="37"/>
        <v>1.4501888920000001</v>
      </c>
      <c r="T54" s="423"/>
      <c r="U54" s="469">
        <v>54504</v>
      </c>
      <c r="V54" s="470">
        <v>0.61529864573216297</v>
      </c>
      <c r="W54" s="426"/>
      <c r="X54" s="582">
        <v>12</v>
      </c>
      <c r="Y54" s="473">
        <f>_xll.RtGet($AE$42,$AE$43&amp;$X54&amp;$AE$44,Y$42)</f>
        <v>1.177</v>
      </c>
      <c r="Z54" s="474">
        <f>_xll.RtGet($AE$42,$AE$43&amp;$X54&amp;$AE$44,Z$42)</f>
        <v>1.177</v>
      </c>
      <c r="AA54" s="423"/>
      <c r="AB54" s="423"/>
      <c r="AC54" s="423"/>
      <c r="AD54" s="423"/>
      <c r="AE54" s="423"/>
      <c r="AF54" s="426"/>
      <c r="AG54" s="426"/>
      <c r="AH54" s="426"/>
      <c r="AI54" s="426"/>
      <c r="AJ54" s="426"/>
      <c r="AK54" s="426"/>
      <c r="AL54" s="422"/>
      <c r="AM54" s="426"/>
      <c r="AN54" s="426"/>
      <c r="AO54" s="423"/>
      <c r="AP54" s="478" t="b">
        <v>1</v>
      </c>
      <c r="AQ54" s="582" t="str">
        <f t="shared" si="19"/>
        <v>24Y</v>
      </c>
      <c r="AR54" s="425">
        <f t="shared" si="10"/>
        <v>288</v>
      </c>
      <c r="AS54" s="466" t="s">
        <v>1071</v>
      </c>
      <c r="AT54" s="461">
        <f t="shared" si="20"/>
        <v>1.347242335</v>
      </c>
      <c r="AU54" s="462"/>
      <c r="AV54" s="463"/>
      <c r="AW54" s="464">
        <f t="shared" si="11"/>
        <v>1.347242335</v>
      </c>
      <c r="AX54" s="465">
        <f t="shared" si="17"/>
        <v>52</v>
      </c>
      <c r="AY54" s="466">
        <f t="shared" si="12"/>
        <v>52</v>
      </c>
      <c r="AZ54" s="465">
        <f t="shared" si="18"/>
        <v>52</v>
      </c>
      <c r="BA54" s="466">
        <f t="shared" si="13"/>
        <v>52</v>
      </c>
      <c r="BB54" s="465">
        <f t="shared" si="14"/>
        <v>288</v>
      </c>
      <c r="BC54" s="425" t="str">
        <f t="shared" si="15"/>
        <v>e</v>
      </c>
      <c r="BD54" s="464">
        <f t="shared" si="16"/>
        <v>1.347242335</v>
      </c>
      <c r="BE54" s="423"/>
      <c r="BF54" s="480" t="str">
        <v>-</v>
      </c>
      <c r="BG54" s="470" t="str">
        <v>-</v>
      </c>
      <c r="BH54" s="426"/>
      <c r="BI54" s="581" t="s">
        <v>1152</v>
      </c>
      <c r="BJ54" s="473">
        <f>_xll.RtGet($BN$7,$BN$8&amp;BI54&amp;$BN$9,$BJ$7)</f>
        <v>1.329715113</v>
      </c>
      <c r="BK54" s="474">
        <f>_xll.RtGet($BN$7,$BN$8&amp;BI54&amp;$BN$9,$BK$7)</f>
        <v>1.329715113</v>
      </c>
      <c r="BL54" s="423"/>
      <c r="BM54" s="426"/>
      <c r="BN54" s="426"/>
      <c r="BO54" s="421"/>
      <c r="BP54" s="644"/>
      <c r="BQ54" s="645"/>
      <c r="BR54" s="645"/>
      <c r="BS54" s="645"/>
      <c r="BT54" s="645"/>
      <c r="BU54" s="645"/>
      <c r="BV54" s="645"/>
      <c r="BW54" s="645"/>
      <c r="BX54" s="645"/>
      <c r="BY54" s="645"/>
      <c r="BZ54" s="645"/>
      <c r="CA54" s="645"/>
      <c r="CB54" s="645"/>
      <c r="CC54" s="645"/>
      <c r="CD54" s="645"/>
      <c r="CE54" s="645"/>
      <c r="CF54" s="645"/>
      <c r="CG54" s="645"/>
      <c r="CH54" s="645"/>
      <c r="CI54" s="645"/>
      <c r="CJ54" s="645"/>
      <c r="CK54" s="645"/>
      <c r="CL54" s="645"/>
      <c r="CM54" s="645"/>
      <c r="CN54" s="645"/>
      <c r="CO54" s="645"/>
      <c r="CP54" s="645"/>
      <c r="CQ54" s="645"/>
      <c r="CR54" s="645"/>
      <c r="CS54" s="645"/>
      <c r="CT54" s="645"/>
      <c r="CU54" s="645"/>
      <c r="CV54" s="645"/>
      <c r="CW54" s="645"/>
      <c r="CX54" s="645"/>
      <c r="CY54" s="645"/>
      <c r="CZ54" s="645"/>
      <c r="DA54" s="645"/>
      <c r="DB54" s="645"/>
      <c r="DC54" s="645"/>
      <c r="DD54" s="645"/>
      <c r="DE54" s="645"/>
      <c r="DF54" s="645"/>
      <c r="DG54" s="645"/>
      <c r="DH54" s="645"/>
      <c r="DI54" s="645"/>
      <c r="DJ54" s="645"/>
      <c r="DK54" s="645"/>
      <c r="DL54" s="645"/>
      <c r="DM54" s="645"/>
      <c r="DN54" s="645"/>
      <c r="DO54" s="645"/>
      <c r="DP54" s="645"/>
      <c r="DQ54" s="645"/>
      <c r="DR54" s="645"/>
      <c r="DS54" s="645"/>
      <c r="DT54" s="645"/>
      <c r="DU54" s="645"/>
      <c r="DV54" s="645"/>
      <c r="DW54" s="645"/>
      <c r="DX54" s="645"/>
      <c r="DY54" s="645"/>
      <c r="DZ54" s="645"/>
    </row>
    <row r="55" spans="1:130">
      <c r="A55" s="613"/>
      <c r="B55" s="519" t="s">
        <v>1052</v>
      </c>
      <c r="C55" s="519">
        <f>VLOOKUP(C33,AG3:AH12,2)</f>
        <v>5</v>
      </c>
      <c r="D55" s="423"/>
      <c r="E55" s="443" t="b">
        <v>1</v>
      </c>
      <c r="F55" s="591">
        <f t="shared" si="31"/>
        <v>17</v>
      </c>
      <c r="G55" s="423"/>
      <c r="H55" s="423"/>
      <c r="I55" s="461">
        <f t="shared" si="32"/>
        <v>1.4217797210000001</v>
      </c>
      <c r="J55" s="560"/>
      <c r="K55" s="463"/>
      <c r="L55" s="560">
        <f t="shared" si="33"/>
        <v>1.4217797210000001</v>
      </c>
      <c r="M55" s="465">
        <f t="shared" si="38"/>
        <v>17</v>
      </c>
      <c r="N55" s="466">
        <f t="shared" si="34"/>
        <v>17</v>
      </c>
      <c r="O55" s="465">
        <f t="shared" si="39"/>
        <v>17</v>
      </c>
      <c r="P55" s="466">
        <f t="shared" si="35"/>
        <v>19</v>
      </c>
      <c r="Q55" s="423"/>
      <c r="R55" s="592">
        <f t="shared" si="36"/>
        <v>19</v>
      </c>
      <c r="S55" s="464">
        <f t="shared" si="37"/>
        <v>1.4729412800000001</v>
      </c>
      <c r="T55" s="423"/>
      <c r="U55" s="469">
        <v>54868</v>
      </c>
      <c r="V55" s="470">
        <v>0.60611203676721226</v>
      </c>
      <c r="W55" s="426"/>
      <c r="X55" s="582">
        <v>13</v>
      </c>
      <c r="Y55" s="473">
        <f>_xll.RtGet($AE$42,$AE$43&amp;$X55&amp;$AE$44,Y$42)</f>
        <v>1.242218797</v>
      </c>
      <c r="Z55" s="474">
        <f>_xll.RtGet($AE$42,$AE$43&amp;$X55&amp;$AE$44,Z$42)</f>
        <v>1.242218797</v>
      </c>
      <c r="AA55" s="423"/>
      <c r="AB55" s="423"/>
      <c r="AC55" s="423"/>
      <c r="AD55" s="423"/>
      <c r="AE55" s="423"/>
      <c r="AF55" s="426"/>
      <c r="AG55" s="426"/>
      <c r="AH55" s="426"/>
      <c r="AI55" s="426"/>
      <c r="AJ55" s="426"/>
      <c r="AK55" s="426"/>
      <c r="AL55" s="422"/>
      <c r="AM55" s="426"/>
      <c r="AN55" s="426"/>
      <c r="AO55" s="423"/>
      <c r="AP55" s="478" t="b">
        <v>1</v>
      </c>
      <c r="AQ55" s="582" t="str">
        <f t="shared" si="19"/>
        <v>25Y</v>
      </c>
      <c r="AR55" s="425">
        <f t="shared" si="10"/>
        <v>300</v>
      </c>
      <c r="AS55" s="466" t="s">
        <v>1071</v>
      </c>
      <c r="AT55" s="461">
        <f t="shared" si="20"/>
        <v>1.3529999800000001</v>
      </c>
      <c r="AU55" s="462"/>
      <c r="AV55" s="463"/>
      <c r="AW55" s="464">
        <f t="shared" si="11"/>
        <v>1.3529999800000001</v>
      </c>
      <c r="AX55" s="465">
        <f t="shared" si="17"/>
        <v>53</v>
      </c>
      <c r="AY55" s="466">
        <f t="shared" si="12"/>
        <v>53</v>
      </c>
      <c r="AZ55" s="465">
        <f t="shared" si="18"/>
        <v>53</v>
      </c>
      <c r="BA55" s="466">
        <f t="shared" si="13"/>
        <v>53</v>
      </c>
      <c r="BB55" s="465">
        <f t="shared" si="14"/>
        <v>300</v>
      </c>
      <c r="BC55" s="425" t="str">
        <f t="shared" si="15"/>
        <v>e</v>
      </c>
      <c r="BD55" s="464">
        <f t="shared" si="16"/>
        <v>1.3529999800000001</v>
      </c>
      <c r="BE55" s="423"/>
      <c r="BF55" s="480" t="str">
        <v>-</v>
      </c>
      <c r="BG55" s="470" t="str">
        <v>-</v>
      </c>
      <c r="BH55" s="426"/>
      <c r="BI55" s="581" t="s">
        <v>1153</v>
      </c>
      <c r="BJ55" s="473">
        <f>_xll.RtGet($BN$7,$BN$8&amp;BI55&amp;$BN$9,$BJ$7)</f>
        <v>1.3396883530000001</v>
      </c>
      <c r="BK55" s="474">
        <f>_xll.RtGet($BN$7,$BN$8&amp;BI55&amp;$BN$9,$BK$7)</f>
        <v>1.3396883530000001</v>
      </c>
      <c r="BL55" s="423"/>
      <c r="BM55" s="426"/>
      <c r="BN55" s="426"/>
      <c r="BO55" s="421"/>
      <c r="BP55" s="644"/>
      <c r="BQ55" s="645"/>
      <c r="BR55" s="645"/>
      <c r="BS55" s="645"/>
      <c r="BT55" s="645"/>
      <c r="BU55" s="645"/>
      <c r="BV55" s="645"/>
      <c r="BW55" s="645"/>
      <c r="BX55" s="645"/>
      <c r="BY55" s="645"/>
      <c r="BZ55" s="645"/>
      <c r="CA55" s="645"/>
      <c r="CB55" s="645"/>
      <c r="CC55" s="645"/>
      <c r="CD55" s="645"/>
      <c r="CE55" s="645"/>
      <c r="CF55" s="645"/>
      <c r="CG55" s="645"/>
      <c r="CH55" s="645"/>
      <c r="CI55" s="645"/>
      <c r="CJ55" s="645"/>
      <c r="CK55" s="645"/>
      <c r="CL55" s="645"/>
      <c r="CM55" s="645"/>
      <c r="CN55" s="645"/>
      <c r="CO55" s="645"/>
      <c r="CP55" s="645"/>
      <c r="CQ55" s="645"/>
      <c r="CR55" s="645"/>
      <c r="CS55" s="645"/>
      <c r="CT55" s="645"/>
      <c r="CU55" s="645"/>
      <c r="CV55" s="645"/>
      <c r="CW55" s="645"/>
      <c r="CX55" s="645"/>
      <c r="CY55" s="645"/>
      <c r="CZ55" s="645"/>
      <c r="DA55" s="645"/>
      <c r="DB55" s="645"/>
      <c r="DC55" s="645"/>
      <c r="DD55" s="645"/>
      <c r="DE55" s="645"/>
      <c r="DF55" s="645"/>
      <c r="DG55" s="645"/>
      <c r="DH55" s="645"/>
      <c r="DI55" s="645"/>
      <c r="DJ55" s="645"/>
      <c r="DK55" s="645"/>
      <c r="DL55" s="645"/>
      <c r="DM55" s="645"/>
      <c r="DN55" s="645"/>
      <c r="DO55" s="645"/>
      <c r="DP55" s="645"/>
      <c r="DQ55" s="645"/>
      <c r="DR55" s="645"/>
      <c r="DS55" s="645"/>
      <c r="DT55" s="645"/>
      <c r="DU55" s="645"/>
      <c r="DV55" s="645"/>
      <c r="DW55" s="645"/>
      <c r="DX55" s="645"/>
      <c r="DY55" s="645"/>
      <c r="DZ55" s="645"/>
    </row>
    <row r="56" spans="1:130">
      <c r="A56" s="613"/>
      <c r="B56" s="426"/>
      <c r="C56" s="426"/>
      <c r="D56" s="426"/>
      <c r="E56" s="443" t="b">
        <v>1</v>
      </c>
      <c r="F56" s="591">
        <f t="shared" si="31"/>
        <v>18</v>
      </c>
      <c r="G56" s="423"/>
      <c r="H56" s="423"/>
      <c r="I56" s="461">
        <f t="shared" si="32"/>
        <v>1.4501888920000001</v>
      </c>
      <c r="J56" s="560"/>
      <c r="K56" s="463"/>
      <c r="L56" s="560">
        <f t="shared" si="33"/>
        <v>1.4501888920000001</v>
      </c>
      <c r="M56" s="465">
        <f t="shared" si="38"/>
        <v>18</v>
      </c>
      <c r="N56" s="466">
        <f t="shared" si="34"/>
        <v>18</v>
      </c>
      <c r="O56" s="465">
        <f t="shared" si="39"/>
        <v>18</v>
      </c>
      <c r="P56" s="466">
        <f t="shared" si="35"/>
        <v>20</v>
      </c>
      <c r="Q56" s="423"/>
      <c r="R56" s="592">
        <f t="shared" si="36"/>
        <v>20</v>
      </c>
      <c r="S56" s="464">
        <f t="shared" si="37"/>
        <v>1.4910000000000001</v>
      </c>
      <c r="T56" s="423"/>
      <c r="U56" s="469">
        <v>55232</v>
      </c>
      <c r="V56" s="470">
        <v>0.5971215382269528</v>
      </c>
      <c r="W56" s="426"/>
      <c r="X56" s="582">
        <v>14</v>
      </c>
      <c r="Y56" s="473">
        <f>_xll.RtGet($AE$42,$AE$43&amp;$X56&amp;$AE$44,Y$42)</f>
        <v>1.299095525</v>
      </c>
      <c r="Z56" s="474">
        <f>_xll.RtGet($AE$42,$AE$43&amp;$X56&amp;$AE$44,Z$42)</f>
        <v>1.299095525</v>
      </c>
      <c r="AA56" s="423"/>
      <c r="AB56" s="423"/>
      <c r="AC56" s="423"/>
      <c r="AD56" s="423"/>
      <c r="AE56" s="423"/>
      <c r="AF56" s="426"/>
      <c r="AG56" s="426"/>
      <c r="AH56" s="426"/>
      <c r="AI56" s="426"/>
      <c r="AJ56" s="426"/>
      <c r="AK56" s="426"/>
      <c r="AL56" s="422"/>
      <c r="AM56" s="426"/>
      <c r="AN56" s="426"/>
      <c r="AO56" s="426"/>
      <c r="AP56" s="478" t="b">
        <v>1</v>
      </c>
      <c r="AQ56" s="582" t="str">
        <f t="shared" si="19"/>
        <v>26Y</v>
      </c>
      <c r="AR56" s="425">
        <f t="shared" si="10"/>
        <v>312</v>
      </c>
      <c r="AS56" s="466" t="s">
        <v>1071</v>
      </c>
      <c r="AT56" s="461">
        <f t="shared" si="20"/>
        <v>1.3575315670000001</v>
      </c>
      <c r="AU56" s="462"/>
      <c r="AV56" s="463"/>
      <c r="AW56" s="464">
        <f t="shared" si="11"/>
        <v>1.3575315670000001</v>
      </c>
      <c r="AX56" s="465">
        <f t="shared" si="17"/>
        <v>54</v>
      </c>
      <c r="AY56" s="466">
        <f t="shared" si="12"/>
        <v>54</v>
      </c>
      <c r="AZ56" s="465">
        <f t="shared" si="18"/>
        <v>54</v>
      </c>
      <c r="BA56" s="466">
        <f t="shared" si="13"/>
        <v>54</v>
      </c>
      <c r="BB56" s="465">
        <f t="shared" si="14"/>
        <v>312</v>
      </c>
      <c r="BC56" s="425" t="str">
        <f t="shared" si="15"/>
        <v>e</v>
      </c>
      <c r="BD56" s="464">
        <f t="shared" si="16"/>
        <v>1.3575315670000001</v>
      </c>
      <c r="BE56" s="423"/>
      <c r="BF56" s="480" t="str">
        <v>-</v>
      </c>
      <c r="BG56" s="470" t="str">
        <v>-</v>
      </c>
      <c r="BH56" s="426"/>
      <c r="BI56" s="581" t="s">
        <v>1155</v>
      </c>
      <c r="BJ56" s="473">
        <f>_xll.RtGet($BN$7,$BN$8&amp;BI56&amp;$BN$9,$BJ$7)</f>
        <v>1.347242335</v>
      </c>
      <c r="BK56" s="474">
        <f>_xll.RtGet($BN$7,$BN$8&amp;BI56&amp;$BN$9,$BK$7)</f>
        <v>1.347242335</v>
      </c>
      <c r="BL56" s="423"/>
      <c r="BM56" s="426"/>
      <c r="BN56" s="426"/>
      <c r="BO56" s="421"/>
      <c r="BP56" s="644"/>
      <c r="BQ56" s="645"/>
      <c r="BR56" s="645"/>
      <c r="BS56" s="645"/>
      <c r="BT56" s="645"/>
      <c r="BU56" s="645"/>
      <c r="BV56" s="645"/>
      <c r="BW56" s="645"/>
      <c r="BX56" s="645"/>
      <c r="BY56" s="645"/>
      <c r="BZ56" s="645"/>
      <c r="CA56" s="645"/>
      <c r="CB56" s="645"/>
      <c r="CC56" s="645"/>
      <c r="CD56" s="645"/>
      <c r="CE56" s="645"/>
      <c r="CF56" s="645"/>
      <c r="CG56" s="645"/>
      <c r="CH56" s="645"/>
      <c r="CI56" s="645"/>
      <c r="CJ56" s="645"/>
      <c r="CK56" s="645"/>
      <c r="CL56" s="645"/>
      <c r="CM56" s="645"/>
      <c r="CN56" s="645"/>
      <c r="CO56" s="645"/>
      <c r="CP56" s="645"/>
      <c r="CQ56" s="645"/>
      <c r="CR56" s="645"/>
      <c r="CS56" s="645"/>
      <c r="CT56" s="645"/>
      <c r="CU56" s="645"/>
      <c r="CV56" s="645"/>
      <c r="CW56" s="645"/>
      <c r="CX56" s="645"/>
      <c r="CY56" s="645"/>
      <c r="CZ56" s="645"/>
      <c r="DA56" s="645"/>
      <c r="DB56" s="645"/>
      <c r="DC56" s="645"/>
      <c r="DD56" s="645"/>
      <c r="DE56" s="645"/>
      <c r="DF56" s="645"/>
      <c r="DG56" s="645"/>
      <c r="DH56" s="645"/>
      <c r="DI56" s="645"/>
      <c r="DJ56" s="645"/>
      <c r="DK56" s="645"/>
      <c r="DL56" s="645"/>
      <c r="DM56" s="645"/>
      <c r="DN56" s="645"/>
      <c r="DO56" s="645"/>
      <c r="DP56" s="645"/>
      <c r="DQ56" s="645"/>
      <c r="DR56" s="645"/>
      <c r="DS56" s="645"/>
      <c r="DT56" s="645"/>
      <c r="DU56" s="645"/>
      <c r="DV56" s="645"/>
      <c r="DW56" s="645"/>
      <c r="DX56" s="645"/>
      <c r="DY56" s="645"/>
      <c r="DZ56" s="645"/>
    </row>
    <row r="57" spans="1:130">
      <c r="A57" s="613"/>
      <c r="B57" s="519" t="s">
        <v>1043</v>
      </c>
      <c r="C57" s="519" t="s">
        <v>1044</v>
      </c>
      <c r="D57" s="426"/>
      <c r="E57" s="443" t="b">
        <v>1</v>
      </c>
      <c r="F57" s="591">
        <f t="shared" si="31"/>
        <v>19</v>
      </c>
      <c r="G57" s="423"/>
      <c r="H57" s="423"/>
      <c r="I57" s="461">
        <f t="shared" si="32"/>
        <v>1.4729412800000001</v>
      </c>
      <c r="J57" s="560"/>
      <c r="K57" s="463"/>
      <c r="L57" s="560">
        <f t="shared" si="33"/>
        <v>1.4729412800000001</v>
      </c>
      <c r="M57" s="465">
        <f t="shared" si="38"/>
        <v>19</v>
      </c>
      <c r="N57" s="466">
        <f t="shared" si="34"/>
        <v>19</v>
      </c>
      <c r="O57" s="465">
        <f t="shared" si="39"/>
        <v>19</v>
      </c>
      <c r="P57" s="466">
        <f t="shared" si="35"/>
        <v>21</v>
      </c>
      <c r="Q57" s="423"/>
      <c r="R57" s="592">
        <f t="shared" si="36"/>
        <v>21</v>
      </c>
      <c r="S57" s="464">
        <f t="shared" si="37"/>
        <v>1.5048417590000001</v>
      </c>
      <c r="T57" s="423"/>
      <c r="U57" s="469">
        <v>55598</v>
      </c>
      <c r="V57" s="470">
        <v>0.58828881883950568</v>
      </c>
      <c r="W57" s="426"/>
      <c r="X57" s="582">
        <v>15</v>
      </c>
      <c r="Y57" s="473">
        <f>_xll.RtGet($AE$42,$AE$43&amp;$X57&amp;$AE$44,Y$42)</f>
        <v>1.347</v>
      </c>
      <c r="Z57" s="474">
        <f>_xll.RtGet($AE$42,$AE$43&amp;$X57&amp;$AE$44,Z$42)</f>
        <v>1.347</v>
      </c>
      <c r="AA57" s="423"/>
      <c r="AB57" s="423"/>
      <c r="AC57" s="423"/>
      <c r="AD57" s="423"/>
      <c r="AE57" s="423"/>
      <c r="AF57" s="426"/>
      <c r="AG57" s="426"/>
      <c r="AH57" s="426"/>
      <c r="AI57" s="426"/>
      <c r="AJ57" s="426"/>
      <c r="AK57" s="426"/>
      <c r="AL57" s="422"/>
      <c r="AM57" s="426"/>
      <c r="AN57" s="426"/>
      <c r="AO57" s="426"/>
      <c r="AP57" s="478" t="b">
        <v>1</v>
      </c>
      <c r="AQ57" s="582" t="str">
        <f t="shared" si="19"/>
        <v>27Y</v>
      </c>
      <c r="AR57" s="425">
        <f t="shared" si="10"/>
        <v>324</v>
      </c>
      <c r="AS57" s="466" t="s">
        <v>1071</v>
      </c>
      <c r="AT57" s="461">
        <f t="shared" si="20"/>
        <v>1.3610583040000002</v>
      </c>
      <c r="AU57" s="462"/>
      <c r="AV57" s="463"/>
      <c r="AW57" s="464">
        <f t="shared" si="11"/>
        <v>1.3610583040000002</v>
      </c>
      <c r="AX57" s="465">
        <f t="shared" si="17"/>
        <v>55</v>
      </c>
      <c r="AY57" s="466">
        <f t="shared" si="12"/>
        <v>55</v>
      </c>
      <c r="AZ57" s="465">
        <f t="shared" si="18"/>
        <v>55</v>
      </c>
      <c r="BA57" s="466">
        <f t="shared" si="13"/>
        <v>55</v>
      </c>
      <c r="BB57" s="465">
        <f t="shared" si="14"/>
        <v>324</v>
      </c>
      <c r="BC57" s="425" t="str">
        <f t="shared" si="15"/>
        <v>e</v>
      </c>
      <c r="BD57" s="464">
        <f t="shared" si="16"/>
        <v>1.3610583040000002</v>
      </c>
      <c r="BE57" s="423"/>
      <c r="BF57" s="480" t="str">
        <v>-</v>
      </c>
      <c r="BG57" s="470" t="str">
        <v>-</v>
      </c>
      <c r="BH57" s="426"/>
      <c r="BI57" s="581" t="s">
        <v>1156</v>
      </c>
      <c r="BJ57" s="473">
        <f>_xll.RtGet($BN$7,$BN$8&amp;BI57&amp;$BN$9,$BJ$7)</f>
        <v>1.3529999800000001</v>
      </c>
      <c r="BK57" s="474">
        <f>_xll.RtGet($BN$7,$BN$8&amp;BI57&amp;$BN$9,$BK$7)</f>
        <v>1.3529999800000001</v>
      </c>
      <c r="BL57" s="423"/>
      <c r="BM57" s="426"/>
      <c r="BN57" s="426"/>
      <c r="BO57" s="421"/>
      <c r="BP57" s="644"/>
      <c r="BQ57" s="645"/>
      <c r="BR57" s="645"/>
      <c r="BS57" s="645"/>
      <c r="BT57" s="645"/>
      <c r="BU57" s="645"/>
      <c r="BV57" s="645"/>
      <c r="BW57" s="645"/>
      <c r="BX57" s="645"/>
      <c r="BY57" s="645"/>
      <c r="BZ57" s="645"/>
      <c r="CA57" s="645"/>
      <c r="CB57" s="645"/>
      <c r="CC57" s="645"/>
      <c r="CD57" s="645"/>
      <c r="CE57" s="645"/>
      <c r="CF57" s="645"/>
      <c r="CG57" s="645"/>
      <c r="CH57" s="645"/>
      <c r="CI57" s="645"/>
      <c r="CJ57" s="645"/>
      <c r="CK57" s="645"/>
      <c r="CL57" s="645"/>
      <c r="CM57" s="645"/>
      <c r="CN57" s="645"/>
      <c r="CO57" s="645"/>
      <c r="CP57" s="645"/>
      <c r="CQ57" s="645"/>
      <c r="CR57" s="645"/>
      <c r="CS57" s="645"/>
      <c r="CT57" s="645"/>
      <c r="CU57" s="645"/>
      <c r="CV57" s="645"/>
      <c r="CW57" s="645"/>
      <c r="CX57" s="645"/>
      <c r="CY57" s="645"/>
      <c r="CZ57" s="645"/>
      <c r="DA57" s="645"/>
      <c r="DB57" s="645"/>
      <c r="DC57" s="645"/>
      <c r="DD57" s="645"/>
      <c r="DE57" s="645"/>
      <c r="DF57" s="645"/>
      <c r="DG57" s="645"/>
      <c r="DH57" s="645"/>
      <c r="DI57" s="645"/>
      <c r="DJ57" s="645"/>
      <c r="DK57" s="645"/>
      <c r="DL57" s="645"/>
      <c r="DM57" s="645"/>
      <c r="DN57" s="645"/>
      <c r="DO57" s="645"/>
      <c r="DP57" s="645"/>
      <c r="DQ57" s="645"/>
      <c r="DR57" s="645"/>
      <c r="DS57" s="645"/>
      <c r="DT57" s="645"/>
      <c r="DU57" s="645"/>
      <c r="DV57" s="645"/>
      <c r="DW57" s="645"/>
      <c r="DX57" s="645"/>
      <c r="DY57" s="645"/>
      <c r="DZ57" s="645"/>
    </row>
    <row r="58" spans="1:130">
      <c r="A58" s="613"/>
      <c r="B58" s="614" t="str">
        <f>"DiscCurveName"&amp;IF(ISBLANK(C29),"","#"&amp;C29)</f>
        <v>DiscCurveName</v>
      </c>
      <c r="C58" s="615">
        <f>exoDisc</f>
        <v>0</v>
      </c>
      <c r="D58" s="426"/>
      <c r="E58" s="443" t="b">
        <v>1</v>
      </c>
      <c r="F58" s="591">
        <f t="shared" si="31"/>
        <v>20</v>
      </c>
      <c r="G58" s="423"/>
      <c r="H58" s="423"/>
      <c r="I58" s="461">
        <f t="shared" si="32"/>
        <v>1.4910000000000001</v>
      </c>
      <c r="J58" s="560"/>
      <c r="K58" s="463"/>
      <c r="L58" s="560">
        <f t="shared" si="33"/>
        <v>1.4910000000000001</v>
      </c>
      <c r="M58" s="465">
        <f t="shared" si="38"/>
        <v>20</v>
      </c>
      <c r="N58" s="466">
        <f t="shared" si="34"/>
        <v>20</v>
      </c>
      <c r="O58" s="465">
        <f t="shared" si="39"/>
        <v>20</v>
      </c>
      <c r="P58" s="466">
        <f t="shared" si="35"/>
        <v>22</v>
      </c>
      <c r="Q58" s="423"/>
      <c r="R58" s="592">
        <f t="shared" si="36"/>
        <v>22</v>
      </c>
      <c r="S58" s="464">
        <f t="shared" si="37"/>
        <v>1.5154516530000002</v>
      </c>
      <c r="T58" s="423"/>
      <c r="U58" s="469">
        <v>55963</v>
      </c>
      <c r="V58" s="470">
        <v>0.57969857963894456</v>
      </c>
      <c r="W58" s="426"/>
      <c r="X58" s="582">
        <v>16</v>
      </c>
      <c r="Y58" s="473">
        <f>_xll.RtGet($AE$42,$AE$43&amp;$X58&amp;$AE$44,Y$42)</f>
        <v>1.387641554</v>
      </c>
      <c r="Z58" s="474">
        <f>_xll.RtGet($AE$42,$AE$43&amp;$X58&amp;$AE$44,Z$42)</f>
        <v>1.387641554</v>
      </c>
      <c r="AA58" s="423"/>
      <c r="AB58" s="423"/>
      <c r="AC58" s="423"/>
      <c r="AD58" s="423"/>
      <c r="AE58" s="423"/>
      <c r="AF58" s="426"/>
      <c r="AG58" s="426"/>
      <c r="AH58" s="426"/>
      <c r="AI58" s="426"/>
      <c r="AJ58" s="426"/>
      <c r="AK58" s="426"/>
      <c r="AL58" s="422"/>
      <c r="AM58" s="426"/>
      <c r="AN58" s="426"/>
      <c r="AO58" s="426"/>
      <c r="AP58" s="478" t="b">
        <v>1</v>
      </c>
      <c r="AQ58" s="582" t="str">
        <f t="shared" si="19"/>
        <v>28Y</v>
      </c>
      <c r="AR58" s="425">
        <f t="shared" si="10"/>
        <v>336</v>
      </c>
      <c r="AS58" s="466" t="s">
        <v>1071</v>
      </c>
      <c r="AT58" s="461">
        <f t="shared" si="20"/>
        <v>1.3638442500000001</v>
      </c>
      <c r="AU58" s="462"/>
      <c r="AV58" s="463"/>
      <c r="AW58" s="464">
        <f t="shared" si="11"/>
        <v>1.3638442500000001</v>
      </c>
      <c r="AX58" s="465">
        <f t="shared" si="17"/>
        <v>56</v>
      </c>
      <c r="AY58" s="466">
        <f t="shared" si="12"/>
        <v>56</v>
      </c>
      <c r="AZ58" s="465">
        <f t="shared" si="18"/>
        <v>56</v>
      </c>
      <c r="BA58" s="466">
        <f t="shared" si="13"/>
        <v>56</v>
      </c>
      <c r="BB58" s="465">
        <f t="shared" si="14"/>
        <v>336</v>
      </c>
      <c r="BC58" s="425" t="str">
        <f t="shared" si="15"/>
        <v>e</v>
      </c>
      <c r="BD58" s="464">
        <f t="shared" si="16"/>
        <v>1.3638442500000001</v>
      </c>
      <c r="BE58" s="423"/>
      <c r="BF58" s="480" t="str">
        <v>-</v>
      </c>
      <c r="BG58" s="470" t="str">
        <v>-</v>
      </c>
      <c r="BH58" s="426"/>
      <c r="BI58" s="581" t="s">
        <v>1157</v>
      </c>
      <c r="BJ58" s="473">
        <f>_xll.RtGet($BN$7,$BN$8&amp;BI58&amp;$BN$9,$BJ$7)</f>
        <v>1.3575315670000001</v>
      </c>
      <c r="BK58" s="474">
        <f>_xll.RtGet($BN$7,$BN$8&amp;BI58&amp;$BN$9,$BK$7)</f>
        <v>1.3575315670000001</v>
      </c>
      <c r="BL58" s="423"/>
      <c r="BM58" s="426"/>
      <c r="BN58" s="426"/>
      <c r="BO58" s="421"/>
      <c r="BP58" s="644"/>
      <c r="BQ58" s="645"/>
      <c r="BR58" s="645"/>
      <c r="BS58" s="645"/>
      <c r="BT58" s="645"/>
      <c r="BU58" s="645"/>
      <c r="BV58" s="645"/>
      <c r="BW58" s="645"/>
      <c r="BX58" s="645"/>
      <c r="BY58" s="645"/>
      <c r="BZ58" s="645"/>
      <c r="CA58" s="645"/>
      <c r="CB58" s="645"/>
      <c r="CC58" s="645"/>
      <c r="CD58" s="645"/>
      <c r="CE58" s="645"/>
      <c r="CF58" s="645"/>
      <c r="CG58" s="645"/>
      <c r="CH58" s="645"/>
      <c r="CI58" s="645"/>
      <c r="CJ58" s="645"/>
      <c r="CK58" s="645"/>
      <c r="CL58" s="645"/>
      <c r="CM58" s="645"/>
      <c r="CN58" s="645"/>
      <c r="CO58" s="645"/>
      <c r="CP58" s="645"/>
      <c r="CQ58" s="645"/>
      <c r="CR58" s="645"/>
      <c r="CS58" s="645"/>
      <c r="CT58" s="645"/>
      <c r="CU58" s="645"/>
      <c r="CV58" s="645"/>
      <c r="CW58" s="645"/>
      <c r="CX58" s="645"/>
      <c r="CY58" s="645"/>
      <c r="CZ58" s="645"/>
      <c r="DA58" s="645"/>
      <c r="DB58" s="645"/>
      <c r="DC58" s="645"/>
      <c r="DD58" s="645"/>
      <c r="DE58" s="645"/>
      <c r="DF58" s="645"/>
      <c r="DG58" s="645"/>
      <c r="DH58" s="645"/>
      <c r="DI58" s="645"/>
      <c r="DJ58" s="645"/>
      <c r="DK58" s="645"/>
      <c r="DL58" s="645"/>
      <c r="DM58" s="645"/>
      <c r="DN58" s="645"/>
      <c r="DO58" s="645"/>
      <c r="DP58" s="645"/>
      <c r="DQ58" s="645"/>
      <c r="DR58" s="645"/>
      <c r="DS58" s="645"/>
      <c r="DT58" s="645"/>
      <c r="DU58" s="645"/>
      <c r="DV58" s="645"/>
      <c r="DW58" s="645"/>
      <c r="DX58" s="645"/>
      <c r="DY58" s="645"/>
      <c r="DZ58" s="645"/>
    </row>
    <row r="59" spans="1:130">
      <c r="A59" s="613"/>
      <c r="B59" s="616" t="str">
        <f>"FutEndDate"&amp;IF(ISBLANK(C44),"","#"&amp;C44)</f>
        <v>FutEndDate#standard</v>
      </c>
      <c r="C59" s="617">
        <v>0</v>
      </c>
      <c r="D59" s="426"/>
      <c r="E59" s="443" t="b">
        <v>1</v>
      </c>
      <c r="F59" s="591">
        <f t="shared" si="31"/>
        <v>21</v>
      </c>
      <c r="G59" s="423"/>
      <c r="H59" s="423"/>
      <c r="I59" s="461">
        <f t="shared" si="32"/>
        <v>1.5048417590000001</v>
      </c>
      <c r="J59" s="560"/>
      <c r="K59" s="463"/>
      <c r="L59" s="560">
        <f t="shared" si="33"/>
        <v>1.5048417590000001</v>
      </c>
      <c r="M59" s="465">
        <f t="shared" si="38"/>
        <v>21</v>
      </c>
      <c r="N59" s="466">
        <f t="shared" si="34"/>
        <v>21</v>
      </c>
      <c r="O59" s="465">
        <f t="shared" si="39"/>
        <v>21</v>
      </c>
      <c r="P59" s="466">
        <f t="shared" si="35"/>
        <v>23</v>
      </c>
      <c r="Q59" s="423"/>
      <c r="R59" s="592">
        <f t="shared" si="36"/>
        <v>23</v>
      </c>
      <c r="S59" s="464">
        <f t="shared" si="37"/>
        <v>1.522952037</v>
      </c>
      <c r="T59" s="423"/>
      <c r="U59" s="469">
        <v>56328</v>
      </c>
      <c r="V59" s="470">
        <v>0.57133717936547834</v>
      </c>
      <c r="W59" s="426"/>
      <c r="X59" s="582">
        <v>17</v>
      </c>
      <c r="Y59" s="473">
        <f>_xll.RtGet($AE$42,$AE$43&amp;$X59&amp;$AE$44,Y$42)</f>
        <v>1.4217797210000001</v>
      </c>
      <c r="Z59" s="474">
        <f>_xll.RtGet($AE$42,$AE$43&amp;$X59&amp;$AE$44,Z$42)</f>
        <v>1.4217797210000001</v>
      </c>
      <c r="AA59" s="423"/>
      <c r="AB59" s="423"/>
      <c r="AC59" s="423"/>
      <c r="AD59" s="423"/>
      <c r="AE59" s="423"/>
      <c r="AF59" s="426"/>
      <c r="AG59" s="426"/>
      <c r="AH59" s="426"/>
      <c r="AI59" s="426"/>
      <c r="AJ59" s="426"/>
      <c r="AK59" s="426"/>
      <c r="AL59" s="422"/>
      <c r="AM59" s="426"/>
      <c r="AN59" s="426"/>
      <c r="AO59" s="426"/>
      <c r="AP59" s="478" t="b">
        <v>1</v>
      </c>
      <c r="AQ59" s="582" t="str">
        <f t="shared" si="19"/>
        <v>29Y</v>
      </c>
      <c r="AR59" s="425">
        <f t="shared" si="10"/>
        <v>348</v>
      </c>
      <c r="AS59" s="466" t="s">
        <v>1071</v>
      </c>
      <c r="AT59" s="461">
        <f t="shared" si="20"/>
        <v>1.366087568</v>
      </c>
      <c r="AU59" s="462"/>
      <c r="AV59" s="463"/>
      <c r="AW59" s="464">
        <f t="shared" si="11"/>
        <v>1.366087568</v>
      </c>
      <c r="AX59" s="465">
        <f t="shared" si="17"/>
        <v>57</v>
      </c>
      <c r="AY59" s="466">
        <f t="shared" si="12"/>
        <v>57</v>
      </c>
      <c r="AZ59" s="465">
        <f t="shared" si="18"/>
        <v>57</v>
      </c>
      <c r="BA59" s="466">
        <f t="shared" si="13"/>
        <v>57</v>
      </c>
      <c r="BB59" s="465">
        <f t="shared" si="14"/>
        <v>348</v>
      </c>
      <c r="BC59" s="425" t="str">
        <f t="shared" si="15"/>
        <v>e</v>
      </c>
      <c r="BD59" s="464">
        <f t="shared" si="16"/>
        <v>1.366087568</v>
      </c>
      <c r="BE59" s="423"/>
      <c r="BF59" s="480" t="str">
        <v>-</v>
      </c>
      <c r="BG59" s="470" t="str">
        <v>-</v>
      </c>
      <c r="BH59" s="426"/>
      <c r="BI59" s="581" t="s">
        <v>1158</v>
      </c>
      <c r="BJ59" s="473">
        <f>_xll.RtGet($BN$7,$BN$8&amp;BI59&amp;$BN$9,$BJ$7)</f>
        <v>1.3610583040000002</v>
      </c>
      <c r="BK59" s="474">
        <f>_xll.RtGet($BN$7,$BN$8&amp;BI59&amp;$BN$9,$BK$7)</f>
        <v>1.3610583040000002</v>
      </c>
      <c r="BL59" s="423"/>
      <c r="BM59" s="426"/>
      <c r="BN59" s="426"/>
      <c r="BO59" s="421"/>
      <c r="BP59" s="644"/>
      <c r="BQ59" s="645"/>
      <c r="BR59" s="645"/>
      <c r="BS59" s="645"/>
      <c r="BT59" s="645"/>
      <c r="BU59" s="645"/>
      <c r="BV59" s="645"/>
      <c r="BW59" s="645"/>
      <c r="BX59" s="645"/>
      <c r="BY59" s="645"/>
      <c r="BZ59" s="645"/>
      <c r="CA59" s="645"/>
      <c r="CB59" s="645"/>
      <c r="CC59" s="645"/>
      <c r="CD59" s="645"/>
      <c r="CE59" s="645"/>
      <c r="CF59" s="645"/>
      <c r="CG59" s="645"/>
      <c r="CH59" s="645"/>
      <c r="CI59" s="645"/>
      <c r="CJ59" s="645"/>
      <c r="CK59" s="645"/>
      <c r="CL59" s="645"/>
      <c r="CM59" s="645"/>
      <c r="CN59" s="645"/>
      <c r="CO59" s="645"/>
      <c r="CP59" s="645"/>
      <c r="CQ59" s="645"/>
      <c r="CR59" s="645"/>
      <c r="CS59" s="645"/>
      <c r="CT59" s="645"/>
      <c r="CU59" s="645"/>
      <c r="CV59" s="645"/>
      <c r="CW59" s="645"/>
      <c r="CX59" s="645"/>
      <c r="CY59" s="645"/>
      <c r="CZ59" s="645"/>
      <c r="DA59" s="645"/>
      <c r="DB59" s="645"/>
      <c r="DC59" s="645"/>
      <c r="DD59" s="645"/>
      <c r="DE59" s="645"/>
      <c r="DF59" s="645"/>
      <c r="DG59" s="645"/>
      <c r="DH59" s="645"/>
      <c r="DI59" s="645"/>
      <c r="DJ59" s="645"/>
      <c r="DK59" s="645"/>
      <c r="DL59" s="645"/>
      <c r="DM59" s="645"/>
      <c r="DN59" s="645"/>
      <c r="DO59" s="645"/>
      <c r="DP59" s="645"/>
      <c r="DQ59" s="645"/>
      <c r="DR59" s="645"/>
      <c r="DS59" s="645"/>
      <c r="DT59" s="645"/>
      <c r="DU59" s="645"/>
      <c r="DV59" s="645"/>
      <c r="DW59" s="645"/>
      <c r="DX59" s="645"/>
      <c r="DY59" s="645"/>
      <c r="DZ59" s="645"/>
    </row>
    <row r="60" spans="1:130">
      <c r="A60" s="613"/>
      <c r="B60" s="616" t="str">
        <f>"MatBlockCons"&amp;IF(ISBLANK(C43),"","#"&amp;C43)</f>
        <v>MatBlockCons#on</v>
      </c>
      <c r="C60" s="617">
        <v>0</v>
      </c>
      <c r="D60" s="426"/>
      <c r="E60" s="443" t="b">
        <v>1</v>
      </c>
      <c r="F60" s="591">
        <f t="shared" si="31"/>
        <v>22</v>
      </c>
      <c r="G60" s="423"/>
      <c r="H60" s="423"/>
      <c r="I60" s="461">
        <f t="shared" si="32"/>
        <v>1.5154516530000002</v>
      </c>
      <c r="J60" s="560"/>
      <c r="K60" s="463"/>
      <c r="L60" s="560">
        <f t="shared" si="33"/>
        <v>1.5154516530000002</v>
      </c>
      <c r="M60" s="465">
        <f t="shared" si="38"/>
        <v>22</v>
      </c>
      <c r="N60" s="466">
        <f t="shared" si="34"/>
        <v>22</v>
      </c>
      <c r="O60" s="465">
        <f t="shared" si="39"/>
        <v>22</v>
      </c>
      <c r="P60" s="466">
        <f t="shared" si="35"/>
        <v>24</v>
      </c>
      <c r="Q60" s="423"/>
      <c r="R60" s="592">
        <f t="shared" si="36"/>
        <v>24</v>
      </c>
      <c r="S60" s="464">
        <f t="shared" si="37"/>
        <v>1.527980576</v>
      </c>
      <c r="T60" s="423"/>
      <c r="U60" s="469">
        <v>56695</v>
      </c>
      <c r="V60" s="470">
        <v>0.56317391066407485</v>
      </c>
      <c r="W60" s="426"/>
      <c r="X60" s="582">
        <v>18</v>
      </c>
      <c r="Y60" s="473">
        <f>_xll.RtGet($AE$42,$AE$43&amp;$X60&amp;$AE$44,Y$42)</f>
        <v>1.4501888920000001</v>
      </c>
      <c r="Z60" s="474">
        <f>_xll.RtGet($AE$42,$AE$43&amp;$X60&amp;$AE$44,Z$42)</f>
        <v>1.4501888920000001</v>
      </c>
      <c r="AA60" s="423"/>
      <c r="AB60" s="423"/>
      <c r="AC60" s="423"/>
      <c r="AD60" s="423"/>
      <c r="AE60" s="423"/>
      <c r="AF60" s="426"/>
      <c r="AG60" s="426"/>
      <c r="AH60" s="426"/>
      <c r="AI60" s="426"/>
      <c r="AJ60" s="426"/>
      <c r="AK60" s="426"/>
      <c r="AL60" s="422"/>
      <c r="AM60" s="426"/>
      <c r="AN60" s="426"/>
      <c r="AO60" s="426"/>
      <c r="AP60" s="478" t="b">
        <v>1</v>
      </c>
      <c r="AQ60" s="582" t="str">
        <f t="shared" si="19"/>
        <v>30Y</v>
      </c>
      <c r="AR60" s="425">
        <f t="shared" si="10"/>
        <v>360</v>
      </c>
      <c r="AS60" s="466" t="s">
        <v>1071</v>
      </c>
      <c r="AT60" s="461">
        <f t="shared" si="20"/>
        <v>1.3679999940000001</v>
      </c>
      <c r="AU60" s="462"/>
      <c r="AV60" s="463"/>
      <c r="AW60" s="464">
        <f t="shared" si="11"/>
        <v>1.3679999940000001</v>
      </c>
      <c r="AX60" s="465">
        <f t="shared" si="17"/>
        <v>58</v>
      </c>
      <c r="AY60" s="466">
        <f t="shared" si="12"/>
        <v>58</v>
      </c>
      <c r="AZ60" s="465">
        <f t="shared" si="18"/>
        <v>58</v>
      </c>
      <c r="BA60" s="466">
        <f t="shared" si="13"/>
        <v>58</v>
      </c>
      <c r="BB60" s="465">
        <f t="shared" si="14"/>
        <v>360</v>
      </c>
      <c r="BC60" s="425" t="str">
        <f t="shared" si="15"/>
        <v>e</v>
      </c>
      <c r="BD60" s="464">
        <f t="shared" si="16"/>
        <v>1.3679999940000001</v>
      </c>
      <c r="BE60" s="423"/>
      <c r="BF60" s="480" t="str">
        <v>-</v>
      </c>
      <c r="BG60" s="470" t="str">
        <v>-</v>
      </c>
      <c r="BH60" s="426"/>
      <c r="BI60" s="581" t="s">
        <v>1159</v>
      </c>
      <c r="BJ60" s="473">
        <f>_xll.RtGet($BN$7,$BN$8&amp;BI60&amp;$BN$9,$BJ$7)</f>
        <v>1.3638442500000001</v>
      </c>
      <c r="BK60" s="474">
        <f>_xll.RtGet($BN$7,$BN$8&amp;BI60&amp;$BN$9,$BK$7)</f>
        <v>1.3638442500000001</v>
      </c>
      <c r="BL60" s="423"/>
      <c r="BM60" s="426"/>
      <c r="BN60" s="426"/>
      <c r="BO60" s="421"/>
      <c r="BP60" s="644"/>
      <c r="BQ60" s="645"/>
      <c r="BR60" s="645"/>
      <c r="BS60" s="645"/>
      <c r="BT60" s="645"/>
      <c r="BU60" s="645"/>
      <c r="BV60" s="645"/>
      <c r="BW60" s="645"/>
      <c r="BX60" s="645"/>
      <c r="BY60" s="645"/>
      <c r="BZ60" s="645"/>
      <c r="CA60" s="645"/>
      <c r="CB60" s="645"/>
      <c r="CC60" s="645"/>
      <c r="CD60" s="645"/>
      <c r="CE60" s="645"/>
      <c r="CF60" s="645"/>
      <c r="CG60" s="645"/>
      <c r="CH60" s="645"/>
      <c r="CI60" s="645"/>
      <c r="CJ60" s="645"/>
      <c r="CK60" s="645"/>
      <c r="CL60" s="645"/>
      <c r="CM60" s="645"/>
      <c r="CN60" s="645"/>
      <c r="CO60" s="645"/>
      <c r="CP60" s="645"/>
      <c r="CQ60" s="645"/>
      <c r="CR60" s="645"/>
      <c r="CS60" s="645"/>
      <c r="CT60" s="645"/>
      <c r="CU60" s="645"/>
      <c r="CV60" s="645"/>
      <c r="CW60" s="645"/>
      <c r="CX60" s="645"/>
      <c r="CY60" s="645"/>
      <c r="CZ60" s="645"/>
      <c r="DA60" s="645"/>
      <c r="DB60" s="645"/>
      <c r="DC60" s="645"/>
      <c r="DD60" s="645"/>
      <c r="DE60" s="645"/>
      <c r="DF60" s="645"/>
      <c r="DG60" s="645"/>
      <c r="DH60" s="645"/>
      <c r="DI60" s="645"/>
      <c r="DJ60" s="645"/>
      <c r="DK60" s="645"/>
      <c r="DL60" s="645"/>
      <c r="DM60" s="645"/>
      <c r="DN60" s="645"/>
      <c r="DO60" s="645"/>
      <c r="DP60" s="645"/>
      <c r="DQ60" s="645"/>
      <c r="DR60" s="645"/>
      <c r="DS60" s="645"/>
      <c r="DT60" s="645"/>
      <c r="DU60" s="645"/>
      <c r="DV60" s="645"/>
      <c r="DW60" s="645"/>
      <c r="DX60" s="645"/>
      <c r="DY60" s="645"/>
      <c r="DZ60" s="645"/>
    </row>
    <row r="61" spans="1:130">
      <c r="A61" s="613"/>
      <c r="B61" s="616" t="str">
        <f>"FutBlockCons"&amp;IF(ISBLANK(C42),"","#"&amp;C42)</f>
        <v>FutBlockCons#stub</v>
      </c>
      <c r="C61" s="617">
        <v>0</v>
      </c>
      <c r="D61" s="426"/>
      <c r="E61" s="443" t="b">
        <v>1</v>
      </c>
      <c r="F61" s="591">
        <f t="shared" si="31"/>
        <v>23</v>
      </c>
      <c r="G61" s="423"/>
      <c r="H61" s="423"/>
      <c r="I61" s="461">
        <f t="shared" si="32"/>
        <v>1.522952037</v>
      </c>
      <c r="J61" s="560"/>
      <c r="K61" s="463"/>
      <c r="L61" s="560">
        <f t="shared" si="33"/>
        <v>1.522952037</v>
      </c>
      <c r="M61" s="465">
        <f t="shared" si="38"/>
        <v>23</v>
      </c>
      <c r="N61" s="466">
        <f t="shared" si="34"/>
        <v>23</v>
      </c>
      <c r="O61" s="465">
        <f t="shared" si="39"/>
        <v>23</v>
      </c>
      <c r="P61" s="466">
        <f t="shared" si="35"/>
        <v>25</v>
      </c>
      <c r="Q61" s="423"/>
      <c r="R61" s="592">
        <f t="shared" si="36"/>
        <v>25</v>
      </c>
      <c r="S61" s="464">
        <f t="shared" si="37"/>
        <v>1.5310000000000001</v>
      </c>
      <c r="T61" s="423"/>
      <c r="U61" s="469">
        <v>57059</v>
      </c>
      <c r="V61" s="470">
        <v>0.55533242216937795</v>
      </c>
      <c r="W61" s="426"/>
      <c r="X61" s="582">
        <v>19</v>
      </c>
      <c r="Y61" s="473">
        <f>_xll.RtGet($AE$42,$AE$43&amp;$X61&amp;$AE$44,Y$42)</f>
        <v>1.4729412800000001</v>
      </c>
      <c r="Z61" s="474">
        <f>_xll.RtGet($AE$42,$AE$43&amp;$X61&amp;$AE$44,Z$42)</f>
        <v>1.4729412800000001</v>
      </c>
      <c r="AA61" s="423"/>
      <c r="AB61" s="423"/>
      <c r="AC61" s="423"/>
      <c r="AD61" s="423"/>
      <c r="AE61" s="423"/>
      <c r="AF61" s="426"/>
      <c r="AG61" s="426"/>
      <c r="AH61" s="426"/>
      <c r="AI61" s="426"/>
      <c r="AJ61" s="426"/>
      <c r="AK61" s="426"/>
      <c r="AL61" s="422"/>
      <c r="AM61" s="426"/>
      <c r="AN61" s="426"/>
      <c r="AO61" s="426"/>
      <c r="AP61" s="478" t="b">
        <v>1</v>
      </c>
      <c r="AQ61" s="582" t="str">
        <f t="shared" si="19"/>
        <v>35Y</v>
      </c>
      <c r="AR61" s="425">
        <f t="shared" si="10"/>
        <v>420</v>
      </c>
      <c r="AS61" s="466" t="s">
        <v>1071</v>
      </c>
      <c r="AT61" s="461">
        <f t="shared" si="20"/>
        <v>1.3744355400000001</v>
      </c>
      <c r="AU61" s="462"/>
      <c r="AV61" s="463"/>
      <c r="AW61" s="464">
        <f t="shared" si="11"/>
        <v>1.3744355400000001</v>
      </c>
      <c r="AX61" s="465">
        <f t="shared" si="17"/>
        <v>59</v>
      </c>
      <c r="AY61" s="466">
        <f t="shared" si="12"/>
        <v>59</v>
      </c>
      <c r="AZ61" s="465">
        <f t="shared" si="18"/>
        <v>59</v>
      </c>
      <c r="BA61" s="466">
        <f t="shared" si="13"/>
        <v>59</v>
      </c>
      <c r="BB61" s="465">
        <f t="shared" si="14"/>
        <v>420</v>
      </c>
      <c r="BC61" s="425" t="str">
        <f t="shared" si="15"/>
        <v>e</v>
      </c>
      <c r="BD61" s="464">
        <f t="shared" si="16"/>
        <v>1.3744355400000001</v>
      </c>
      <c r="BE61" s="423"/>
      <c r="BF61" s="480" t="str">
        <v>-</v>
      </c>
      <c r="BG61" s="470" t="str">
        <v>-</v>
      </c>
      <c r="BH61" s="426"/>
      <c r="BI61" s="581" t="s">
        <v>1160</v>
      </c>
      <c r="BJ61" s="473">
        <f>_xll.RtGet($BN$7,$BN$8&amp;BI61&amp;$BN$9,$BJ$7)</f>
        <v>1.366087568</v>
      </c>
      <c r="BK61" s="474">
        <f>_xll.RtGet($BN$7,$BN$8&amp;BI61&amp;$BN$9,$BK$7)</f>
        <v>1.366087568</v>
      </c>
      <c r="BL61" s="423"/>
      <c r="BM61" s="426"/>
      <c r="BN61" s="426"/>
      <c r="BO61" s="421"/>
      <c r="BP61" s="644"/>
      <c r="BQ61" s="645"/>
      <c r="BR61" s="645"/>
      <c r="BS61" s="645"/>
      <c r="BT61" s="645"/>
      <c r="BU61" s="645"/>
      <c r="BV61" s="645"/>
      <c r="BW61" s="645"/>
      <c r="BX61" s="645"/>
      <c r="BY61" s="645"/>
      <c r="BZ61" s="645"/>
      <c r="CA61" s="645"/>
      <c r="CB61" s="645"/>
      <c r="CC61" s="645"/>
      <c r="CD61" s="645"/>
      <c r="CE61" s="645"/>
      <c r="CF61" s="645"/>
      <c r="CG61" s="645"/>
      <c r="CH61" s="645"/>
      <c r="CI61" s="645"/>
      <c r="CJ61" s="645"/>
      <c r="CK61" s="645"/>
      <c r="CL61" s="645"/>
      <c r="CM61" s="645"/>
      <c r="CN61" s="645"/>
      <c r="CO61" s="645"/>
      <c r="CP61" s="645"/>
      <c r="CQ61" s="645"/>
      <c r="CR61" s="645"/>
      <c r="CS61" s="645"/>
      <c r="CT61" s="645"/>
      <c r="CU61" s="645"/>
      <c r="CV61" s="645"/>
      <c r="CW61" s="645"/>
      <c r="CX61" s="645"/>
      <c r="CY61" s="645"/>
      <c r="CZ61" s="645"/>
      <c r="DA61" s="645"/>
      <c r="DB61" s="645"/>
      <c r="DC61" s="645"/>
      <c r="DD61" s="645"/>
      <c r="DE61" s="645"/>
      <c r="DF61" s="645"/>
      <c r="DG61" s="645"/>
      <c r="DH61" s="645"/>
      <c r="DI61" s="645"/>
      <c r="DJ61" s="645"/>
      <c r="DK61" s="645"/>
      <c r="DL61" s="645"/>
      <c r="DM61" s="645"/>
      <c r="DN61" s="645"/>
      <c r="DO61" s="645"/>
      <c r="DP61" s="645"/>
      <c r="DQ61" s="645"/>
      <c r="DR61" s="645"/>
      <c r="DS61" s="645"/>
      <c r="DT61" s="645"/>
      <c r="DU61" s="645"/>
      <c r="DV61" s="645"/>
      <c r="DW61" s="645"/>
      <c r="DX61" s="645"/>
      <c r="DY61" s="645"/>
      <c r="DZ61" s="645"/>
    </row>
    <row r="62" spans="1:130">
      <c r="A62" s="613"/>
      <c r="B62" s="616" t="s">
        <v>1163</v>
      </c>
      <c r="C62" s="617">
        <f>IF(E22,1,0)</f>
        <v>1</v>
      </c>
      <c r="D62" s="426"/>
      <c r="E62" s="443" t="b">
        <v>1</v>
      </c>
      <c r="F62" s="591">
        <f t="shared" si="31"/>
        <v>24</v>
      </c>
      <c r="G62" s="423"/>
      <c r="H62" s="423"/>
      <c r="I62" s="461">
        <f t="shared" si="32"/>
        <v>1.527980576</v>
      </c>
      <c r="J62" s="560"/>
      <c r="K62" s="463"/>
      <c r="L62" s="560">
        <f t="shared" si="33"/>
        <v>1.527980576</v>
      </c>
      <c r="M62" s="465">
        <f t="shared" si="38"/>
        <v>24</v>
      </c>
      <c r="N62" s="466">
        <f t="shared" si="34"/>
        <v>24</v>
      </c>
      <c r="O62" s="465">
        <f t="shared" si="39"/>
        <v>24</v>
      </c>
      <c r="P62" s="466">
        <f t="shared" si="35"/>
        <v>26</v>
      </c>
      <c r="Q62" s="423"/>
      <c r="R62" s="592">
        <f t="shared" si="36"/>
        <v>26</v>
      </c>
      <c r="S62" s="464">
        <f t="shared" si="37"/>
        <v>1.533040972</v>
      </c>
      <c r="T62" s="423"/>
      <c r="U62" s="469">
        <v>57424</v>
      </c>
      <c r="V62" s="470">
        <v>0.5477398659766689</v>
      </c>
      <c r="W62" s="426"/>
      <c r="X62" s="582">
        <v>20</v>
      </c>
      <c r="Y62" s="473">
        <f>_xll.RtGet($AE$42,$AE$43&amp;$X62&amp;$AE$44,Y$42)</f>
        <v>1.4910000000000001</v>
      </c>
      <c r="Z62" s="474">
        <f>_xll.RtGet($AE$42,$AE$43&amp;$X62&amp;$AE$44,Z$42)</f>
        <v>1.4910000000000001</v>
      </c>
      <c r="AA62" s="423"/>
      <c r="AB62" s="423"/>
      <c r="AC62" s="423"/>
      <c r="AD62" s="423"/>
      <c r="AE62" s="423"/>
      <c r="AF62" s="426"/>
      <c r="AG62" s="426"/>
      <c r="AH62" s="426"/>
      <c r="AI62" s="426"/>
      <c r="AJ62" s="426"/>
      <c r="AK62" s="426"/>
      <c r="AL62" s="422"/>
      <c r="AM62" s="426"/>
      <c r="AN62" s="426"/>
      <c r="AO62" s="426"/>
      <c r="AP62" s="478" t="b">
        <v>1</v>
      </c>
      <c r="AQ62" s="582" t="str">
        <f t="shared" si="19"/>
        <v>40Y</v>
      </c>
      <c r="AR62" s="425">
        <f t="shared" si="10"/>
        <v>480</v>
      </c>
      <c r="AS62" s="466" t="s">
        <v>1071</v>
      </c>
      <c r="AT62" s="461">
        <f t="shared" si="20"/>
        <v>1.3719999740000002</v>
      </c>
      <c r="AU62" s="462"/>
      <c r="AV62" s="463"/>
      <c r="AW62" s="464">
        <f t="shared" si="11"/>
        <v>1.3719999740000002</v>
      </c>
      <c r="AX62" s="465">
        <f t="shared" si="17"/>
        <v>60</v>
      </c>
      <c r="AY62" s="466">
        <f t="shared" si="12"/>
        <v>60</v>
      </c>
      <c r="AZ62" s="465">
        <f t="shared" si="18"/>
        <v>60</v>
      </c>
      <c r="BA62" s="466">
        <f t="shared" si="13"/>
        <v>60</v>
      </c>
      <c r="BB62" s="465">
        <f t="shared" si="14"/>
        <v>480</v>
      </c>
      <c r="BC62" s="425" t="str">
        <f t="shared" si="15"/>
        <v>e</v>
      </c>
      <c r="BD62" s="464">
        <f t="shared" si="16"/>
        <v>1.3719999740000002</v>
      </c>
      <c r="BE62" s="423"/>
      <c r="BF62" s="480" t="str">
        <v>-</v>
      </c>
      <c r="BG62" s="470" t="str">
        <v>-</v>
      </c>
      <c r="BH62" s="426"/>
      <c r="BI62" s="581" t="s">
        <v>1161</v>
      </c>
      <c r="BJ62" s="473">
        <f>_xll.RtGet($BN$7,$BN$8&amp;BI62&amp;$BN$9,$BJ$7)</f>
        <v>1.3679999940000001</v>
      </c>
      <c r="BK62" s="474">
        <f>_xll.RtGet($BN$7,$BN$8&amp;BI62&amp;$BN$9,$BK$7)</f>
        <v>1.3679999940000001</v>
      </c>
      <c r="BL62" s="423"/>
      <c r="BM62" s="426"/>
      <c r="BN62" s="426"/>
      <c r="BO62" s="421"/>
      <c r="BP62" s="644"/>
      <c r="BQ62" s="645"/>
      <c r="BR62" s="645"/>
      <c r="BS62" s="645"/>
      <c r="BT62" s="645"/>
      <c r="BU62" s="645"/>
      <c r="BV62" s="645"/>
      <c r="BW62" s="645"/>
      <c r="BX62" s="645"/>
      <c r="BY62" s="645"/>
      <c r="BZ62" s="645"/>
      <c r="CA62" s="645"/>
      <c r="CB62" s="645"/>
      <c r="CC62" s="645"/>
      <c r="CD62" s="645"/>
      <c r="CE62" s="645"/>
      <c r="CF62" s="645"/>
      <c r="CG62" s="645"/>
      <c r="CH62" s="645"/>
      <c r="CI62" s="645"/>
      <c r="CJ62" s="645"/>
      <c r="CK62" s="645"/>
      <c r="CL62" s="645"/>
      <c r="CM62" s="645"/>
      <c r="CN62" s="645"/>
      <c r="CO62" s="645"/>
      <c r="CP62" s="645"/>
      <c r="CQ62" s="645"/>
      <c r="CR62" s="645"/>
      <c r="CS62" s="645"/>
      <c r="CT62" s="645"/>
      <c r="CU62" s="645"/>
      <c r="CV62" s="645"/>
      <c r="CW62" s="645"/>
      <c r="CX62" s="645"/>
      <c r="CY62" s="645"/>
      <c r="CZ62" s="645"/>
      <c r="DA62" s="645"/>
      <c r="DB62" s="645"/>
      <c r="DC62" s="645"/>
      <c r="DD62" s="645"/>
      <c r="DE62" s="645"/>
      <c r="DF62" s="645"/>
      <c r="DG62" s="645"/>
      <c r="DH62" s="645"/>
      <c r="DI62" s="645"/>
      <c r="DJ62" s="645"/>
      <c r="DK62" s="645"/>
      <c r="DL62" s="645"/>
      <c r="DM62" s="645"/>
      <c r="DN62" s="645"/>
      <c r="DO62" s="645"/>
      <c r="DP62" s="645"/>
      <c r="DQ62" s="645"/>
      <c r="DR62" s="645"/>
      <c r="DS62" s="645"/>
      <c r="DT62" s="645"/>
      <c r="DU62" s="645"/>
      <c r="DV62" s="645"/>
      <c r="DW62" s="645"/>
      <c r="DX62" s="645"/>
      <c r="DY62" s="645"/>
      <c r="DZ62" s="645"/>
    </row>
    <row r="63" spans="1:130">
      <c r="A63" s="613"/>
      <c r="B63" s="616" t="str">
        <f>IF(E22,"FutBlockStubRate","")</f>
        <v>FutBlockStubRate</v>
      </c>
      <c r="C63" s="618">
        <f>IF(E22,stubRate,0)</f>
        <v>-0.22033333300000002</v>
      </c>
      <c r="D63" s="426"/>
      <c r="E63" s="443" t="b">
        <v>1</v>
      </c>
      <c r="F63" s="591">
        <f t="shared" si="31"/>
        <v>25</v>
      </c>
      <c r="G63" s="423"/>
      <c r="H63" s="423"/>
      <c r="I63" s="461">
        <f t="shared" si="32"/>
        <v>1.5310000000000001</v>
      </c>
      <c r="J63" s="560"/>
      <c r="K63" s="463"/>
      <c r="L63" s="560">
        <f t="shared" si="33"/>
        <v>1.5310000000000001</v>
      </c>
      <c r="M63" s="465">
        <f t="shared" si="38"/>
        <v>25</v>
      </c>
      <c r="N63" s="466">
        <f t="shared" si="34"/>
        <v>25</v>
      </c>
      <c r="O63" s="465">
        <f t="shared" si="39"/>
        <v>25</v>
      </c>
      <c r="P63" s="466">
        <f t="shared" si="35"/>
        <v>27</v>
      </c>
      <c r="Q63" s="423"/>
      <c r="R63" s="592">
        <f t="shared" si="36"/>
        <v>27</v>
      </c>
      <c r="S63" s="464">
        <f t="shared" si="37"/>
        <v>1.5344274010000001</v>
      </c>
      <c r="T63" s="423"/>
      <c r="U63" s="469">
        <v>57789</v>
      </c>
      <c r="V63" s="470">
        <v>0.54043260432859885</v>
      </c>
      <c r="W63" s="426"/>
      <c r="X63" s="582">
        <v>21</v>
      </c>
      <c r="Y63" s="473">
        <f>_xll.RtGet($AE$42,$AE$43&amp;$X63&amp;$AE$44,Y$42)</f>
        <v>1.5048417590000001</v>
      </c>
      <c r="Z63" s="474">
        <f>_xll.RtGet($AE$42,$AE$43&amp;$X63&amp;$AE$44,Z$42)</f>
        <v>1.5048417590000001</v>
      </c>
      <c r="AA63" s="423"/>
      <c r="AB63" s="423"/>
      <c r="AC63" s="423"/>
      <c r="AD63" s="423"/>
      <c r="AE63" s="423"/>
      <c r="AF63" s="426"/>
      <c r="AG63" s="426"/>
      <c r="AH63" s="426"/>
      <c r="AI63" s="426"/>
      <c r="AJ63" s="426"/>
      <c r="AK63" s="426"/>
      <c r="AL63" s="422"/>
      <c r="AM63" s="426"/>
      <c r="AN63" s="426"/>
      <c r="AO63" s="426"/>
      <c r="AP63" s="478" t="b">
        <v>1</v>
      </c>
      <c r="AQ63" s="582" t="str">
        <f t="shared" si="19"/>
        <v>50Y</v>
      </c>
      <c r="AR63" s="425">
        <f t="shared" si="10"/>
        <v>600</v>
      </c>
      <c r="AS63" s="466" t="s">
        <v>1071</v>
      </c>
      <c r="AT63" s="461">
        <f t="shared" si="20"/>
        <v>1.340999987</v>
      </c>
      <c r="AU63" s="462"/>
      <c r="AV63" s="463"/>
      <c r="AW63" s="464">
        <f t="shared" si="11"/>
        <v>1.340999987</v>
      </c>
      <c r="AX63" s="465">
        <f t="shared" si="17"/>
        <v>61</v>
      </c>
      <c r="AY63" s="466">
        <f t="shared" si="12"/>
        <v>61</v>
      </c>
      <c r="AZ63" s="465">
        <f t="shared" si="18"/>
        <v>61</v>
      </c>
      <c r="BA63" s="466">
        <f t="shared" si="13"/>
        <v>61</v>
      </c>
      <c r="BB63" s="465">
        <f t="shared" si="14"/>
        <v>600</v>
      </c>
      <c r="BC63" s="425" t="str">
        <f t="shared" si="15"/>
        <v>e</v>
      </c>
      <c r="BD63" s="464">
        <f t="shared" si="16"/>
        <v>1.340999987</v>
      </c>
      <c r="BE63" s="423"/>
      <c r="BF63" s="480" t="str">
        <v>-</v>
      </c>
      <c r="BG63" s="470" t="str">
        <v>-</v>
      </c>
      <c r="BH63" s="426"/>
      <c r="BI63" s="581" t="s">
        <v>1165</v>
      </c>
      <c r="BJ63" s="473">
        <f>_xll.RtGet($BN$7,$BN$8&amp;BI63&amp;$BN$9,$BJ$7)</f>
        <v>1.3744355400000001</v>
      </c>
      <c r="BK63" s="474">
        <f>_xll.RtGet($BN$7,$BN$8&amp;BI63&amp;$BN$9,$BK$7)</f>
        <v>1.3744355400000001</v>
      </c>
      <c r="BL63" s="423"/>
      <c r="BM63" s="426"/>
      <c r="BN63" s="426"/>
      <c r="BO63" s="421"/>
      <c r="BP63" s="644"/>
      <c r="BQ63" s="645"/>
      <c r="BR63" s="645"/>
      <c r="BS63" s="645"/>
      <c r="BT63" s="645"/>
      <c r="BU63" s="645"/>
      <c r="BV63" s="645"/>
      <c r="BW63" s="645"/>
      <c r="BX63" s="645"/>
      <c r="BY63" s="645"/>
      <c r="BZ63" s="645"/>
      <c r="CA63" s="645"/>
      <c r="CB63" s="645"/>
      <c r="CC63" s="645"/>
      <c r="CD63" s="645"/>
      <c r="CE63" s="645"/>
      <c r="CF63" s="645"/>
      <c r="CG63" s="645"/>
      <c r="CH63" s="645"/>
      <c r="CI63" s="645"/>
      <c r="CJ63" s="645"/>
      <c r="CK63" s="645"/>
      <c r="CL63" s="645"/>
      <c r="CM63" s="645"/>
      <c r="CN63" s="645"/>
      <c r="CO63" s="645"/>
      <c r="CP63" s="645"/>
      <c r="CQ63" s="645"/>
      <c r="CR63" s="645"/>
      <c r="CS63" s="645"/>
      <c r="CT63" s="645"/>
      <c r="CU63" s="645"/>
      <c r="CV63" s="645"/>
      <c r="CW63" s="645"/>
      <c r="CX63" s="645"/>
      <c r="CY63" s="645"/>
      <c r="CZ63" s="645"/>
      <c r="DA63" s="645"/>
      <c r="DB63" s="645"/>
      <c r="DC63" s="645"/>
      <c r="DD63" s="645"/>
      <c r="DE63" s="645"/>
      <c r="DF63" s="645"/>
      <c r="DG63" s="645"/>
      <c r="DH63" s="645"/>
      <c r="DI63" s="645"/>
      <c r="DJ63" s="645"/>
      <c r="DK63" s="645"/>
      <c r="DL63" s="645"/>
      <c r="DM63" s="645"/>
      <c r="DN63" s="645"/>
      <c r="DO63" s="645"/>
      <c r="DP63" s="645"/>
      <c r="DQ63" s="645"/>
      <c r="DR63" s="645"/>
      <c r="DS63" s="645"/>
      <c r="DT63" s="645"/>
      <c r="DU63" s="645"/>
      <c r="DV63" s="645"/>
      <c r="DW63" s="645"/>
      <c r="DX63" s="645"/>
      <c r="DY63" s="645"/>
      <c r="DZ63" s="645"/>
    </row>
    <row r="64" spans="1:130">
      <c r="A64" s="613"/>
      <c r="B64" s="616" t="str">
        <f>"BlockOrder"&amp;IF(ISBLANK(C39),"","#"&amp;C39)</f>
        <v>BlockOrder#2314</v>
      </c>
      <c r="C64" s="617">
        <f>C39</f>
        <v>2314</v>
      </c>
      <c r="D64" s="426"/>
      <c r="E64" s="443" t="b">
        <v>1</v>
      </c>
      <c r="F64" s="591">
        <f t="shared" si="31"/>
        <v>26</v>
      </c>
      <c r="G64" s="423"/>
      <c r="H64" s="423"/>
      <c r="I64" s="461">
        <f t="shared" si="32"/>
        <v>1.533040972</v>
      </c>
      <c r="J64" s="560"/>
      <c r="K64" s="463"/>
      <c r="L64" s="560">
        <f t="shared" si="33"/>
        <v>1.533040972</v>
      </c>
      <c r="M64" s="465">
        <f t="shared" si="38"/>
        <v>26</v>
      </c>
      <c r="N64" s="466">
        <f t="shared" si="34"/>
        <v>26</v>
      </c>
      <c r="O64" s="465">
        <f t="shared" si="39"/>
        <v>26</v>
      </c>
      <c r="P64" s="466">
        <f t="shared" si="35"/>
        <v>28</v>
      </c>
      <c r="Q64" s="423"/>
      <c r="R64" s="592">
        <f t="shared" si="36"/>
        <v>28</v>
      </c>
      <c r="S64" s="464">
        <f t="shared" si="37"/>
        <v>1.5353449990000001</v>
      </c>
      <c r="T64" s="423"/>
      <c r="U64" s="469">
        <v>61442</v>
      </c>
      <c r="V64" s="470">
        <v>0.47868212534400689</v>
      </c>
      <c r="W64" s="426"/>
      <c r="X64" s="582">
        <v>22</v>
      </c>
      <c r="Y64" s="473">
        <f>_xll.RtGet($AE$42,$AE$43&amp;$X64&amp;$AE$44,Y$42)</f>
        <v>1.5154516530000002</v>
      </c>
      <c r="Z64" s="474">
        <f>_xll.RtGet($AE$42,$AE$43&amp;$X64&amp;$AE$44,Z$42)</f>
        <v>1.5154516530000002</v>
      </c>
      <c r="AA64" s="423"/>
      <c r="AB64" s="423"/>
      <c r="AC64" s="423"/>
      <c r="AD64" s="423"/>
      <c r="AE64" s="423"/>
      <c r="AF64" s="426"/>
      <c r="AG64" s="426"/>
      <c r="AH64" s="426"/>
      <c r="AI64" s="426"/>
      <c r="AJ64" s="426"/>
      <c r="AK64" s="426"/>
      <c r="AL64" s="422"/>
      <c r="AM64" s="426"/>
      <c r="AN64" s="426"/>
      <c r="AO64" s="426"/>
      <c r="AP64" s="525" t="b">
        <v>1</v>
      </c>
      <c r="AQ64" s="619" t="str">
        <f t="shared" si="19"/>
        <v>60Y</v>
      </c>
      <c r="AR64" s="500">
        <f t="shared" si="10"/>
        <v>720</v>
      </c>
      <c r="AS64" s="500" t="s">
        <v>1071</v>
      </c>
      <c r="AT64" s="501">
        <f t="shared" si="20"/>
        <v>1.321</v>
      </c>
      <c r="AU64" s="502"/>
      <c r="AV64" s="503"/>
      <c r="AW64" s="504">
        <f t="shared" si="11"/>
        <v>1.321</v>
      </c>
      <c r="AX64" s="527">
        <f t="shared" si="17"/>
        <v>62</v>
      </c>
      <c r="AY64" s="528">
        <f t="shared" si="12"/>
        <v>62</v>
      </c>
      <c r="AZ64" s="527">
        <f t="shared" si="18"/>
        <v>62</v>
      </c>
      <c r="BA64" s="528">
        <f t="shared" si="13"/>
        <v>62</v>
      </c>
      <c r="BB64" s="527">
        <f t="shared" si="14"/>
        <v>720</v>
      </c>
      <c r="BC64" s="500" t="str">
        <f t="shared" si="15"/>
        <v>e</v>
      </c>
      <c r="BD64" s="504">
        <f t="shared" si="16"/>
        <v>1.321</v>
      </c>
      <c r="BE64" s="423"/>
      <c r="BF64" s="480" t="str">
        <v>-</v>
      </c>
      <c r="BG64" s="470" t="str">
        <v>-</v>
      </c>
      <c r="BH64" s="426"/>
      <c r="BI64" s="581" t="s">
        <v>1162</v>
      </c>
      <c r="BJ64" s="473">
        <f>_xll.RtGet($BN$7,$BN$8&amp;BI64&amp;$BN$9,$BJ$7)</f>
        <v>1.3719999740000002</v>
      </c>
      <c r="BK64" s="474">
        <f>_xll.RtGet($BN$7,$BN$8&amp;BI64&amp;$BN$9,$BK$7)</f>
        <v>1.3719999740000002</v>
      </c>
      <c r="BL64" s="423"/>
      <c r="BM64" s="426"/>
      <c r="BN64" s="426"/>
      <c r="BO64" s="421"/>
      <c r="BP64" s="644"/>
      <c r="BQ64" s="645"/>
      <c r="BR64" s="645"/>
      <c r="BS64" s="645"/>
      <c r="BT64" s="645"/>
      <c r="BU64" s="645"/>
      <c r="BV64" s="645"/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5"/>
      <c r="CN64" s="645"/>
      <c r="CO64" s="645"/>
      <c r="CP64" s="645"/>
      <c r="CQ64" s="645"/>
      <c r="CR64" s="645"/>
      <c r="CS64" s="645"/>
      <c r="CT64" s="645"/>
      <c r="CU64" s="645"/>
      <c r="CV64" s="645"/>
      <c r="CW64" s="645"/>
      <c r="CX64" s="645"/>
      <c r="CY64" s="645"/>
      <c r="CZ64" s="645"/>
      <c r="DA64" s="645"/>
      <c r="DB64" s="645"/>
      <c r="DC64" s="645"/>
      <c r="DD64" s="645"/>
      <c r="DE64" s="645"/>
      <c r="DF64" s="645"/>
      <c r="DG64" s="645"/>
      <c r="DH64" s="645"/>
      <c r="DI64" s="645"/>
      <c r="DJ64" s="645"/>
      <c r="DK64" s="645"/>
      <c r="DL64" s="645"/>
      <c r="DM64" s="645"/>
      <c r="DN64" s="645"/>
      <c r="DO64" s="645"/>
      <c r="DP64" s="645"/>
      <c r="DQ64" s="645"/>
      <c r="DR64" s="645"/>
      <c r="DS64" s="645"/>
      <c r="DT64" s="645"/>
      <c r="DU64" s="645"/>
      <c r="DV64" s="645"/>
      <c r="DW64" s="645"/>
      <c r="DX64" s="645"/>
      <c r="DY64" s="645"/>
      <c r="DZ64" s="645"/>
    </row>
    <row r="65" spans="1:130">
      <c r="A65" s="613"/>
      <c r="B65" s="475" t="s">
        <v>1166</v>
      </c>
      <c r="C65" s="620">
        <f>IF(E22,1,0)</f>
        <v>1</v>
      </c>
      <c r="D65" s="426"/>
      <c r="E65" s="443" t="b">
        <v>1</v>
      </c>
      <c r="F65" s="591">
        <f t="shared" si="31"/>
        <v>27</v>
      </c>
      <c r="G65" s="423"/>
      <c r="H65" s="423"/>
      <c r="I65" s="461">
        <f t="shared" si="32"/>
        <v>1.5344274010000001</v>
      </c>
      <c r="J65" s="560"/>
      <c r="K65" s="463"/>
      <c r="L65" s="560">
        <f t="shared" si="33"/>
        <v>1.5344274010000001</v>
      </c>
      <c r="M65" s="465">
        <f t="shared" si="38"/>
        <v>27</v>
      </c>
      <c r="N65" s="466">
        <f t="shared" si="34"/>
        <v>27</v>
      </c>
      <c r="O65" s="465">
        <f t="shared" si="39"/>
        <v>27</v>
      </c>
      <c r="P65" s="466">
        <f t="shared" si="35"/>
        <v>29</v>
      </c>
      <c r="Q65" s="423"/>
      <c r="R65" s="592">
        <f t="shared" si="36"/>
        <v>29</v>
      </c>
      <c r="S65" s="464">
        <f t="shared" si="37"/>
        <v>1.53582223</v>
      </c>
      <c r="T65" s="423"/>
      <c r="U65" s="469">
        <v>65095</v>
      </c>
      <c r="V65" s="470">
        <v>0.42396705587849837</v>
      </c>
      <c r="W65" s="426"/>
      <c r="X65" s="582">
        <v>23</v>
      </c>
      <c r="Y65" s="473">
        <f>_xll.RtGet($AE$42,$AE$43&amp;$X65&amp;$AE$44,Y$42)</f>
        <v>1.522952037</v>
      </c>
      <c r="Z65" s="474">
        <f>_xll.RtGet($AE$42,$AE$43&amp;$X65&amp;$AE$44,Z$42)</f>
        <v>1.522952037</v>
      </c>
      <c r="AA65" s="423"/>
      <c r="AB65" s="423"/>
      <c r="AC65" s="423"/>
      <c r="AD65" s="423"/>
      <c r="AE65" s="423"/>
      <c r="AF65" s="426"/>
      <c r="AG65" s="426"/>
      <c r="AH65" s="426"/>
      <c r="AI65" s="426"/>
      <c r="AJ65" s="426"/>
      <c r="AK65" s="426"/>
      <c r="AL65" s="422"/>
      <c r="AM65" s="426"/>
      <c r="AN65" s="426"/>
      <c r="AO65" s="426"/>
      <c r="AP65" s="423"/>
      <c r="AQ65" s="423"/>
      <c r="AR65" s="425"/>
      <c r="AS65" s="425"/>
      <c r="AT65" s="423"/>
      <c r="AU65" s="423"/>
      <c r="AV65" s="423"/>
      <c r="AW65" s="423"/>
      <c r="AX65" s="423"/>
      <c r="AY65" s="423"/>
      <c r="AZ65" s="423"/>
      <c r="BA65" s="423"/>
      <c r="BB65" s="423"/>
      <c r="BC65" s="423"/>
      <c r="BD65" s="423"/>
      <c r="BE65" s="423"/>
      <c r="BF65" s="480" t="str">
        <v>-</v>
      </c>
      <c r="BG65" s="470" t="str">
        <v>-</v>
      </c>
      <c r="BH65" s="426"/>
      <c r="BI65" s="581" t="s">
        <v>1164</v>
      </c>
      <c r="BJ65" s="473">
        <f>_xll.RtGet($BN$7,$BN$8&amp;BI65&amp;$BN$9,$BJ$7)</f>
        <v>1.340999987</v>
      </c>
      <c r="BK65" s="474">
        <f>_xll.RtGet($BN$7,$BN$8&amp;BI65&amp;$BN$9,$BK$7)</f>
        <v>1.340999987</v>
      </c>
      <c r="BL65" s="423"/>
      <c r="BM65" s="426"/>
      <c r="BN65" s="426"/>
      <c r="BO65" s="421"/>
      <c r="BP65" s="644"/>
      <c r="BQ65" s="645"/>
      <c r="BR65" s="645"/>
      <c r="BS65" s="645"/>
      <c r="BT65" s="645"/>
      <c r="BU65" s="645"/>
      <c r="BV65" s="645"/>
      <c r="BW65" s="645"/>
      <c r="BX65" s="645"/>
      <c r="BY65" s="645"/>
      <c r="BZ65" s="645"/>
      <c r="CA65" s="645"/>
      <c r="CB65" s="645"/>
      <c r="CC65" s="645"/>
      <c r="CD65" s="645"/>
      <c r="CE65" s="645"/>
      <c r="CF65" s="645"/>
      <c r="CG65" s="645"/>
      <c r="CH65" s="645"/>
      <c r="CI65" s="645"/>
      <c r="CJ65" s="645"/>
      <c r="CK65" s="645"/>
      <c r="CL65" s="645"/>
      <c r="CM65" s="645"/>
      <c r="CN65" s="645"/>
      <c r="CO65" s="645"/>
      <c r="CP65" s="645"/>
      <c r="CQ65" s="645"/>
      <c r="CR65" s="645"/>
      <c r="CS65" s="645"/>
      <c r="CT65" s="645"/>
      <c r="CU65" s="645"/>
      <c r="CV65" s="645"/>
      <c r="CW65" s="645"/>
      <c r="CX65" s="645"/>
      <c r="CY65" s="645"/>
      <c r="CZ65" s="645"/>
      <c r="DA65" s="645"/>
      <c r="DB65" s="645"/>
      <c r="DC65" s="645"/>
      <c r="DD65" s="645"/>
      <c r="DE65" s="645"/>
      <c r="DF65" s="645"/>
      <c r="DG65" s="645"/>
      <c r="DH65" s="645"/>
      <c r="DI65" s="645"/>
      <c r="DJ65" s="645"/>
      <c r="DK65" s="645"/>
      <c r="DL65" s="645"/>
      <c r="DM65" s="645"/>
      <c r="DN65" s="645"/>
      <c r="DO65" s="645"/>
      <c r="DP65" s="645"/>
      <c r="DQ65" s="645"/>
      <c r="DR65" s="645"/>
      <c r="DS65" s="645"/>
      <c r="DT65" s="645"/>
      <c r="DU65" s="645"/>
      <c r="DV65" s="645"/>
      <c r="DW65" s="645"/>
      <c r="DX65" s="645"/>
      <c r="DY65" s="645"/>
      <c r="DZ65" s="645"/>
    </row>
    <row r="66" spans="1:130">
      <c r="A66" s="613"/>
      <c r="B66" s="616" t="str">
        <f>IF(ISBLANK(C45),"","FraFutTenor")</f>
        <v>FraFutTenor</v>
      </c>
      <c r="C66" s="617">
        <f>C45</f>
        <v>3</v>
      </c>
      <c r="D66" s="426"/>
      <c r="E66" s="443" t="b">
        <v>1</v>
      </c>
      <c r="F66" s="591">
        <f t="shared" si="31"/>
        <v>28</v>
      </c>
      <c r="G66" s="423"/>
      <c r="H66" s="423"/>
      <c r="I66" s="461">
        <f t="shared" si="32"/>
        <v>1.5353449990000001</v>
      </c>
      <c r="J66" s="560"/>
      <c r="K66" s="463"/>
      <c r="L66" s="560">
        <f t="shared" si="33"/>
        <v>1.5353449990000001</v>
      </c>
      <c r="M66" s="465">
        <f t="shared" si="38"/>
        <v>28</v>
      </c>
      <c r="N66" s="466">
        <f t="shared" si="34"/>
        <v>28</v>
      </c>
      <c r="O66" s="465">
        <f t="shared" si="39"/>
        <v>28</v>
      </c>
      <c r="P66" s="466">
        <f t="shared" si="35"/>
        <v>30</v>
      </c>
      <c r="Q66" s="423"/>
      <c r="R66" s="592">
        <f t="shared" si="36"/>
        <v>30</v>
      </c>
      <c r="S66" s="464">
        <f t="shared" si="37"/>
        <v>1.536</v>
      </c>
      <c r="T66" s="423"/>
      <c r="U66" s="469" t="e">
        <v>#N/A</v>
      </c>
      <c r="V66" s="470" t="e">
        <v>#N/A</v>
      </c>
      <c r="W66" s="426"/>
      <c r="X66" s="582">
        <v>24</v>
      </c>
      <c r="Y66" s="473">
        <f>_xll.RtGet($AE$42,$AE$43&amp;$X66&amp;$AE$44,Y$42)</f>
        <v>1.527980576</v>
      </c>
      <c r="Z66" s="474">
        <f>_xll.RtGet($AE$42,$AE$43&amp;$X66&amp;$AE$44,Z$42)</f>
        <v>1.527980576</v>
      </c>
      <c r="AA66" s="423"/>
      <c r="AB66" s="423"/>
      <c r="AC66" s="423"/>
      <c r="AD66" s="423"/>
      <c r="AE66" s="423"/>
      <c r="AF66" s="426"/>
      <c r="AG66" s="426"/>
      <c r="AH66" s="426"/>
      <c r="AI66" s="426"/>
      <c r="AJ66" s="426"/>
      <c r="AK66" s="426"/>
      <c r="AL66" s="422"/>
      <c r="AM66" s="426"/>
      <c r="AN66" s="426"/>
      <c r="AO66" s="426"/>
      <c r="AP66" s="423"/>
      <c r="AQ66" s="423"/>
      <c r="AR66" s="425"/>
      <c r="AS66" s="425"/>
      <c r="AT66" s="423"/>
      <c r="AU66" s="423"/>
      <c r="AV66" s="423"/>
      <c r="AW66" s="423"/>
      <c r="AX66" s="423"/>
      <c r="AY66" s="423"/>
      <c r="AZ66" s="423"/>
      <c r="BA66" s="423"/>
      <c r="BB66" s="423"/>
      <c r="BC66" s="423"/>
      <c r="BD66" s="423"/>
      <c r="BE66" s="423"/>
      <c r="BF66" s="480" t="str">
        <v>-</v>
      </c>
      <c r="BG66" s="470" t="str">
        <v>-</v>
      </c>
      <c r="BH66" s="426"/>
      <c r="BI66" s="621" t="s">
        <v>1167</v>
      </c>
      <c r="BJ66" s="529">
        <f>_xll.RtGet($BN$7,$BN$8&amp;BI66&amp;$BN$9,$BJ$7)</f>
        <v>1.321</v>
      </c>
      <c r="BK66" s="530">
        <f>_xll.RtGet($BN$7,$BN$8&amp;BI66&amp;$BN$9,$BK$7)</f>
        <v>1.321</v>
      </c>
      <c r="BL66" s="423"/>
      <c r="BM66" s="426"/>
      <c r="BN66" s="426"/>
      <c r="BO66" s="421"/>
      <c r="BP66" s="644"/>
      <c r="BQ66" s="645"/>
      <c r="BR66" s="645"/>
      <c r="BS66" s="645"/>
      <c r="BT66" s="645"/>
      <c r="BU66" s="645"/>
      <c r="BV66" s="645"/>
      <c r="BW66" s="645"/>
      <c r="BX66" s="645"/>
      <c r="BY66" s="645"/>
      <c r="BZ66" s="645"/>
      <c r="CA66" s="645"/>
      <c r="CB66" s="645"/>
      <c r="CC66" s="645"/>
      <c r="CD66" s="645"/>
      <c r="CE66" s="645"/>
      <c r="CF66" s="645"/>
      <c r="CG66" s="645"/>
      <c r="CH66" s="645"/>
      <c r="CI66" s="645"/>
      <c r="CJ66" s="645"/>
      <c r="CK66" s="645"/>
      <c r="CL66" s="645"/>
      <c r="CM66" s="645"/>
      <c r="CN66" s="645"/>
      <c r="CO66" s="645"/>
      <c r="CP66" s="645"/>
      <c r="CQ66" s="645"/>
      <c r="CR66" s="645"/>
      <c r="CS66" s="645"/>
      <c r="CT66" s="645"/>
      <c r="CU66" s="645"/>
      <c r="CV66" s="645"/>
      <c r="CW66" s="645"/>
      <c r="CX66" s="645"/>
      <c r="CY66" s="645"/>
      <c r="CZ66" s="645"/>
      <c r="DA66" s="645"/>
      <c r="DB66" s="645"/>
      <c r="DC66" s="645"/>
      <c r="DD66" s="645"/>
      <c r="DE66" s="645"/>
      <c r="DF66" s="645"/>
      <c r="DG66" s="645"/>
      <c r="DH66" s="645"/>
      <c r="DI66" s="645"/>
      <c r="DJ66" s="645"/>
      <c r="DK66" s="645"/>
      <c r="DL66" s="645"/>
      <c r="DM66" s="645"/>
      <c r="DN66" s="645"/>
      <c r="DO66" s="645"/>
      <c r="DP66" s="645"/>
      <c r="DQ66" s="645"/>
      <c r="DR66" s="645"/>
      <c r="DS66" s="645"/>
      <c r="DT66" s="645"/>
      <c r="DU66" s="645"/>
      <c r="DV66" s="645"/>
      <c r="DW66" s="645"/>
      <c r="DX66" s="645"/>
      <c r="DY66" s="645"/>
      <c r="DZ66" s="645"/>
    </row>
    <row r="67" spans="1:130">
      <c r="A67" s="613"/>
      <c r="B67" s="616" t="str">
        <f>IF(ISBLANK(C46),"","FraFutAdjType")</f>
        <v>FraFutAdjType</v>
      </c>
      <c r="C67" s="617">
        <f>VLOOKUP(C46,AG15:AH18,2)</f>
        <v>3</v>
      </c>
      <c r="D67" s="426"/>
      <c r="E67" s="443" t="b">
        <v>1</v>
      </c>
      <c r="F67" s="591">
        <f t="shared" si="31"/>
        <v>29</v>
      </c>
      <c r="G67" s="423"/>
      <c r="H67" s="423"/>
      <c r="I67" s="461">
        <f t="shared" si="32"/>
        <v>1.53582223</v>
      </c>
      <c r="J67" s="560"/>
      <c r="K67" s="463"/>
      <c r="L67" s="560">
        <f t="shared" si="33"/>
        <v>1.53582223</v>
      </c>
      <c r="M67" s="465">
        <f t="shared" si="38"/>
        <v>29</v>
      </c>
      <c r="N67" s="466">
        <f t="shared" si="34"/>
        <v>29</v>
      </c>
      <c r="O67" s="465">
        <f t="shared" si="39"/>
        <v>29</v>
      </c>
      <c r="P67" s="466">
        <f t="shared" si="35"/>
        <v>31</v>
      </c>
      <c r="Q67" s="423"/>
      <c r="R67" s="592">
        <f t="shared" si="36"/>
        <v>31</v>
      </c>
      <c r="S67" s="464">
        <f t="shared" si="37"/>
        <v>1.5357923440000001</v>
      </c>
      <c r="T67" s="423"/>
      <c r="U67" s="469" t="e">
        <v>#N/A</v>
      </c>
      <c r="V67" s="470" t="e">
        <v>#N/A</v>
      </c>
      <c r="W67" s="426"/>
      <c r="X67" s="582">
        <v>25</v>
      </c>
      <c r="Y67" s="473">
        <f>_xll.RtGet($AE$42,$AE$43&amp;$X67&amp;$AE$44,Y$42)</f>
        <v>1.5310000000000001</v>
      </c>
      <c r="Z67" s="474">
        <f>_xll.RtGet($AE$42,$AE$43&amp;$X67&amp;$AE$44,Z$42)</f>
        <v>1.5310000000000001</v>
      </c>
      <c r="AA67" s="423"/>
      <c r="AB67" s="423"/>
      <c r="AC67" s="423"/>
      <c r="AD67" s="423"/>
      <c r="AE67" s="423"/>
      <c r="AF67" s="426"/>
      <c r="AG67" s="426"/>
      <c r="AH67" s="426"/>
      <c r="AI67" s="426"/>
      <c r="AJ67" s="426"/>
      <c r="AK67" s="426"/>
      <c r="AL67" s="422"/>
      <c r="AM67" s="426"/>
      <c r="AN67" s="426"/>
      <c r="AO67" s="426"/>
      <c r="AP67" s="423"/>
      <c r="AQ67" s="423"/>
      <c r="AR67" s="425"/>
      <c r="AS67" s="425"/>
      <c r="AT67" s="423"/>
      <c r="AU67" s="423"/>
      <c r="AV67" s="423"/>
      <c r="AW67" s="423"/>
      <c r="AX67" s="423"/>
      <c r="AY67" s="423"/>
      <c r="AZ67" s="423"/>
      <c r="BA67" s="423"/>
      <c r="BB67" s="423"/>
      <c r="BC67" s="423"/>
      <c r="BD67" s="423"/>
      <c r="BE67" s="423"/>
      <c r="BF67" s="480" t="str">
        <v>-</v>
      </c>
      <c r="BG67" s="470" t="str">
        <v>-</v>
      </c>
      <c r="BH67" s="426"/>
      <c r="BI67" s="423"/>
      <c r="BJ67" s="423"/>
      <c r="BK67" s="423"/>
      <c r="BL67" s="423"/>
      <c r="BM67" s="426"/>
      <c r="BN67" s="426"/>
      <c r="BO67" s="421"/>
      <c r="BP67" s="644"/>
      <c r="BQ67" s="645"/>
      <c r="BR67" s="645"/>
      <c r="BS67" s="645"/>
      <c r="BT67" s="645"/>
      <c r="BU67" s="645"/>
      <c r="BV67" s="645"/>
      <c r="BW67" s="645"/>
      <c r="BX67" s="645"/>
      <c r="BY67" s="645"/>
      <c r="BZ67" s="645"/>
      <c r="CA67" s="645"/>
      <c r="CB67" s="645"/>
      <c r="CC67" s="645"/>
      <c r="CD67" s="645"/>
      <c r="CE67" s="645"/>
      <c r="CF67" s="645"/>
      <c r="CG67" s="645"/>
      <c r="CH67" s="645"/>
      <c r="CI67" s="645"/>
      <c r="CJ67" s="645"/>
      <c r="CK67" s="645"/>
      <c r="CL67" s="645"/>
      <c r="CM67" s="645"/>
      <c r="CN67" s="645"/>
      <c r="CO67" s="645"/>
      <c r="CP67" s="645"/>
      <c r="CQ67" s="645"/>
      <c r="CR67" s="645"/>
      <c r="CS67" s="645"/>
      <c r="CT67" s="645"/>
      <c r="CU67" s="645"/>
      <c r="CV67" s="645"/>
      <c r="CW67" s="645"/>
      <c r="CX67" s="645"/>
      <c r="CY67" s="645"/>
      <c r="CZ67" s="645"/>
      <c r="DA67" s="645"/>
      <c r="DB67" s="645"/>
      <c r="DC67" s="645"/>
      <c r="DD67" s="645"/>
      <c r="DE67" s="645"/>
      <c r="DF67" s="645"/>
      <c r="DG67" s="645"/>
      <c r="DH67" s="645"/>
      <c r="DI67" s="645"/>
      <c r="DJ67" s="645"/>
      <c r="DK67" s="645"/>
      <c r="DL67" s="645"/>
      <c r="DM67" s="645"/>
      <c r="DN67" s="645"/>
      <c r="DO67" s="645"/>
      <c r="DP67" s="645"/>
      <c r="DQ67" s="645"/>
      <c r="DR67" s="645"/>
      <c r="DS67" s="645"/>
      <c r="DT67" s="645"/>
      <c r="DU67" s="645"/>
      <c r="DV67" s="645"/>
      <c r="DW67" s="645"/>
      <c r="DX67" s="645"/>
      <c r="DY67" s="645"/>
      <c r="DZ67" s="645"/>
    </row>
    <row r="68" spans="1:130">
      <c r="A68" s="613"/>
      <c r="B68" s="616" t="str">
        <f>IF(ISBLANK(C50),"","SwapFltFreq")</f>
        <v>SwapFltFreq</v>
      </c>
      <c r="C68" s="617">
        <v>2</v>
      </c>
      <c r="D68" s="426"/>
      <c r="E68" s="443" t="b">
        <v>1</v>
      </c>
      <c r="F68" s="591">
        <f t="shared" si="31"/>
        <v>30</v>
      </c>
      <c r="G68" s="423"/>
      <c r="H68" s="423"/>
      <c r="I68" s="461">
        <f t="shared" si="32"/>
        <v>1.536</v>
      </c>
      <c r="J68" s="560"/>
      <c r="K68" s="463"/>
      <c r="L68" s="560">
        <f t="shared" si="33"/>
        <v>1.536</v>
      </c>
      <c r="M68" s="465">
        <f t="shared" si="38"/>
        <v>30</v>
      </c>
      <c r="N68" s="466">
        <f t="shared" si="34"/>
        <v>30</v>
      </c>
      <c r="O68" s="465">
        <f t="shared" si="39"/>
        <v>30</v>
      </c>
      <c r="P68" s="466">
        <f t="shared" si="35"/>
        <v>32</v>
      </c>
      <c r="Q68" s="423"/>
      <c r="R68" s="592">
        <f t="shared" si="36"/>
        <v>32</v>
      </c>
      <c r="S68" s="464">
        <f t="shared" si="37"/>
        <v>1.5354175480000001</v>
      </c>
      <c r="T68" s="423"/>
      <c r="U68" s="469" t="e">
        <v>#N/A</v>
      </c>
      <c r="V68" s="470" t="e">
        <v>#N/A</v>
      </c>
      <c r="W68" s="426"/>
      <c r="X68" s="582">
        <v>26</v>
      </c>
      <c r="Y68" s="473">
        <f>_xll.RtGet($AE$42,$AE$43&amp;$X68&amp;$AE$44,Y$42)</f>
        <v>1.533040972</v>
      </c>
      <c r="Z68" s="474">
        <f>_xll.RtGet($AE$42,$AE$43&amp;$X68&amp;$AE$44,Z$42)</f>
        <v>1.533040972</v>
      </c>
      <c r="AA68" s="423"/>
      <c r="AB68" s="423"/>
      <c r="AC68" s="423"/>
      <c r="AD68" s="423"/>
      <c r="AE68" s="423"/>
      <c r="AF68" s="426"/>
      <c r="AG68" s="426"/>
      <c r="AH68" s="426"/>
      <c r="AI68" s="426"/>
      <c r="AJ68" s="426"/>
      <c r="AK68" s="426"/>
      <c r="AL68" s="422"/>
      <c r="AM68" s="426"/>
      <c r="AN68" s="426"/>
      <c r="AO68" s="426"/>
      <c r="AP68" s="423"/>
      <c r="AQ68" s="423"/>
      <c r="AR68" s="425"/>
      <c r="AS68" s="425"/>
      <c r="AT68" s="423"/>
      <c r="AU68" s="423"/>
      <c r="AV68" s="423"/>
      <c r="AW68" s="423"/>
      <c r="AX68" s="423"/>
      <c r="AY68" s="423"/>
      <c r="AZ68" s="423"/>
      <c r="BA68" s="423"/>
      <c r="BB68" s="423"/>
      <c r="BC68" s="423"/>
      <c r="BD68" s="423"/>
      <c r="BE68" s="423"/>
      <c r="BF68" s="480" t="str">
        <v>-</v>
      </c>
      <c r="BG68" s="470" t="str">
        <v>-</v>
      </c>
      <c r="BH68" s="426"/>
      <c r="BI68" s="423"/>
      <c r="BJ68" s="423"/>
      <c r="BK68" s="423"/>
      <c r="BL68" s="423"/>
      <c r="BM68" s="426"/>
      <c r="BN68" s="426"/>
      <c r="BO68" s="421"/>
      <c r="BP68" s="644"/>
      <c r="BQ68" s="645"/>
      <c r="BR68" s="645"/>
      <c r="BS68" s="645"/>
      <c r="BT68" s="645"/>
      <c r="BU68" s="645"/>
      <c r="BV68" s="645"/>
      <c r="BW68" s="645"/>
      <c r="BX68" s="645"/>
      <c r="BY68" s="645"/>
      <c r="BZ68" s="645"/>
      <c r="CA68" s="645"/>
      <c r="CB68" s="645"/>
      <c r="CC68" s="645"/>
      <c r="CD68" s="645"/>
      <c r="CE68" s="645"/>
      <c r="CF68" s="645"/>
      <c r="CG68" s="645"/>
      <c r="CH68" s="645"/>
      <c r="CI68" s="645"/>
      <c r="CJ68" s="645"/>
      <c r="CK68" s="645"/>
      <c r="CL68" s="645"/>
      <c r="CM68" s="645"/>
      <c r="CN68" s="645"/>
      <c r="CO68" s="645"/>
      <c r="CP68" s="645"/>
      <c r="CQ68" s="645"/>
      <c r="CR68" s="645"/>
      <c r="CS68" s="645"/>
      <c r="CT68" s="645"/>
      <c r="CU68" s="645"/>
      <c r="CV68" s="645"/>
      <c r="CW68" s="645"/>
      <c r="CX68" s="645"/>
      <c r="CY68" s="645"/>
      <c r="CZ68" s="645"/>
      <c r="DA68" s="645"/>
      <c r="DB68" s="645"/>
      <c r="DC68" s="645"/>
      <c r="DD68" s="645"/>
      <c r="DE68" s="645"/>
      <c r="DF68" s="645"/>
      <c r="DG68" s="645"/>
      <c r="DH68" s="645"/>
      <c r="DI68" s="645"/>
      <c r="DJ68" s="645"/>
      <c r="DK68" s="645"/>
      <c r="DL68" s="645"/>
      <c r="DM68" s="645"/>
      <c r="DN68" s="645"/>
      <c r="DO68" s="645"/>
      <c r="DP68" s="645"/>
      <c r="DQ68" s="645"/>
      <c r="DR68" s="645"/>
      <c r="DS68" s="645"/>
      <c r="DT68" s="645"/>
      <c r="DU68" s="645"/>
      <c r="DV68" s="645"/>
      <c r="DW68" s="645"/>
      <c r="DX68" s="645"/>
      <c r="DY68" s="645"/>
      <c r="DZ68" s="645"/>
    </row>
    <row r="69" spans="1:130">
      <c r="A69" s="613"/>
      <c r="B69" s="616" t="str">
        <f>IF(ISBLANK(#REF!),"","SwapFixFreq")</f>
        <v>SwapFixFreq</v>
      </c>
      <c r="C69" s="617">
        <v>1</v>
      </c>
      <c r="D69" s="426"/>
      <c r="E69" s="443" t="b">
        <v>1</v>
      </c>
      <c r="F69" s="591">
        <f t="shared" si="31"/>
        <v>31</v>
      </c>
      <c r="G69" s="423"/>
      <c r="H69" s="423"/>
      <c r="I69" s="461">
        <f t="shared" si="32"/>
        <v>1.5357923440000001</v>
      </c>
      <c r="J69" s="560"/>
      <c r="K69" s="463"/>
      <c r="L69" s="560">
        <f t="shared" si="33"/>
        <v>1.5357923440000001</v>
      </c>
      <c r="M69" s="465">
        <f t="shared" si="38"/>
        <v>31</v>
      </c>
      <c r="N69" s="466">
        <f t="shared" si="34"/>
        <v>31</v>
      </c>
      <c r="O69" s="465">
        <f t="shared" si="39"/>
        <v>31</v>
      </c>
      <c r="P69" s="466">
        <f t="shared" si="35"/>
        <v>33</v>
      </c>
      <c r="Q69" s="423"/>
      <c r="R69" s="592">
        <f t="shared" si="36"/>
        <v>33</v>
      </c>
      <c r="S69" s="464">
        <f t="shared" si="37"/>
        <v>1.5348372170000002</v>
      </c>
      <c r="T69" s="423"/>
      <c r="U69" s="469" t="e">
        <v>#N/A</v>
      </c>
      <c r="V69" s="470" t="e">
        <v>#N/A</v>
      </c>
      <c r="W69" s="426"/>
      <c r="X69" s="582">
        <v>27</v>
      </c>
      <c r="Y69" s="473">
        <f>_xll.RtGet($AE$42,$AE$43&amp;$X69&amp;$AE$44,Y$42)</f>
        <v>1.5344274010000001</v>
      </c>
      <c r="Z69" s="474">
        <f>_xll.RtGet($AE$42,$AE$43&amp;$X69&amp;$AE$44,Z$42)</f>
        <v>1.5344274010000001</v>
      </c>
      <c r="AA69" s="423"/>
      <c r="AB69" s="423"/>
      <c r="AC69" s="423"/>
      <c r="AD69" s="423"/>
      <c r="AE69" s="423"/>
      <c r="AF69" s="426"/>
      <c r="AG69" s="426"/>
      <c r="AH69" s="426"/>
      <c r="AI69" s="426"/>
      <c r="AJ69" s="426"/>
      <c r="AK69" s="426"/>
      <c r="AL69" s="422"/>
      <c r="AM69" s="426"/>
      <c r="AN69" s="426"/>
      <c r="AO69" s="426"/>
      <c r="AP69" s="423"/>
      <c r="AQ69" s="423"/>
      <c r="AR69" s="425"/>
      <c r="AS69" s="425"/>
      <c r="AT69" s="423"/>
      <c r="AU69" s="423"/>
      <c r="AV69" s="423"/>
      <c r="AW69" s="423"/>
      <c r="AX69" s="423"/>
      <c r="AY69" s="423"/>
      <c r="AZ69" s="423"/>
      <c r="BA69" s="423"/>
      <c r="BB69" s="423"/>
      <c r="BC69" s="423"/>
      <c r="BD69" s="423"/>
      <c r="BE69" s="423"/>
      <c r="BF69" s="480" t="str">
        <v>-</v>
      </c>
      <c r="BG69" s="470" t="str">
        <v>-</v>
      </c>
      <c r="BH69" s="426"/>
      <c r="BI69" s="423"/>
      <c r="BJ69" s="423"/>
      <c r="BK69" s="423"/>
      <c r="BL69" s="423"/>
      <c r="BM69" s="426"/>
      <c r="BN69" s="426"/>
      <c r="BO69" s="421"/>
      <c r="BP69" s="644"/>
      <c r="BQ69" s="645"/>
      <c r="BR69" s="645"/>
      <c r="BS69" s="645"/>
      <c r="BT69" s="645"/>
      <c r="BU69" s="645"/>
      <c r="BV69" s="645"/>
      <c r="BW69" s="645"/>
      <c r="BX69" s="645"/>
      <c r="BY69" s="645"/>
      <c r="BZ69" s="645"/>
      <c r="CA69" s="645"/>
      <c r="CB69" s="645"/>
      <c r="CC69" s="645"/>
      <c r="CD69" s="645"/>
      <c r="CE69" s="645"/>
      <c r="CF69" s="645"/>
      <c r="CG69" s="645"/>
      <c r="CH69" s="645"/>
      <c r="CI69" s="645"/>
      <c r="CJ69" s="645"/>
      <c r="CK69" s="645"/>
      <c r="CL69" s="645"/>
      <c r="CM69" s="645"/>
      <c r="CN69" s="645"/>
      <c r="CO69" s="645"/>
      <c r="CP69" s="645"/>
      <c r="CQ69" s="645"/>
      <c r="CR69" s="645"/>
      <c r="CS69" s="645"/>
      <c r="CT69" s="645"/>
      <c r="CU69" s="645"/>
      <c r="CV69" s="645"/>
      <c r="CW69" s="645"/>
      <c r="CX69" s="645"/>
      <c r="CY69" s="645"/>
      <c r="CZ69" s="645"/>
      <c r="DA69" s="645"/>
      <c r="DB69" s="645"/>
      <c r="DC69" s="645"/>
      <c r="DD69" s="645"/>
      <c r="DE69" s="645"/>
      <c r="DF69" s="645"/>
      <c r="DG69" s="645"/>
      <c r="DH69" s="645"/>
      <c r="DI69" s="645"/>
      <c r="DJ69" s="645"/>
      <c r="DK69" s="645"/>
      <c r="DL69" s="645"/>
      <c r="DM69" s="645"/>
      <c r="DN69" s="645"/>
      <c r="DO69" s="645"/>
      <c r="DP69" s="645"/>
      <c r="DQ69" s="645"/>
      <c r="DR69" s="645"/>
      <c r="DS69" s="645"/>
      <c r="DT69" s="645"/>
      <c r="DU69" s="645"/>
      <c r="DV69" s="645"/>
      <c r="DW69" s="645"/>
      <c r="DX69" s="645"/>
      <c r="DY69" s="645"/>
      <c r="DZ69" s="645"/>
    </row>
    <row r="70" spans="1:130">
      <c r="A70" s="613"/>
      <c r="B70" s="616" t="str">
        <f>IF(ISBLANK(C51),"","SwapFltYrf")</f>
        <v>SwapFltYrf</v>
      </c>
      <c r="C70" s="617">
        <v>4</v>
      </c>
      <c r="D70" s="426"/>
      <c r="E70" s="443" t="b">
        <v>1</v>
      </c>
      <c r="F70" s="591">
        <f t="shared" si="31"/>
        <v>32</v>
      </c>
      <c r="G70" s="423"/>
      <c r="H70" s="423"/>
      <c r="I70" s="461">
        <f t="shared" si="32"/>
        <v>1.5354175480000001</v>
      </c>
      <c r="J70" s="560"/>
      <c r="K70" s="463"/>
      <c r="L70" s="560">
        <f t="shared" si="33"/>
        <v>1.5354175480000001</v>
      </c>
      <c r="M70" s="465">
        <f t="shared" si="38"/>
        <v>32</v>
      </c>
      <c r="N70" s="466">
        <f t="shared" si="34"/>
        <v>32</v>
      </c>
      <c r="O70" s="465">
        <f t="shared" si="39"/>
        <v>32</v>
      </c>
      <c r="P70" s="466">
        <f t="shared" si="35"/>
        <v>34</v>
      </c>
      <c r="Q70" s="423"/>
      <c r="R70" s="592">
        <f t="shared" si="36"/>
        <v>34</v>
      </c>
      <c r="S70" s="464">
        <f t="shared" si="37"/>
        <v>1.5341048720000001</v>
      </c>
      <c r="T70" s="423"/>
      <c r="U70" s="469" t="e">
        <v>#N/A</v>
      </c>
      <c r="V70" s="470" t="e">
        <v>#N/A</v>
      </c>
      <c r="W70" s="426"/>
      <c r="X70" s="582">
        <v>28</v>
      </c>
      <c r="Y70" s="473">
        <f>_xll.RtGet($AE$42,$AE$43&amp;$X70&amp;$AE$44,Y$42)</f>
        <v>1.5353449990000001</v>
      </c>
      <c r="Z70" s="474">
        <f>_xll.RtGet($AE$42,$AE$43&amp;$X70&amp;$AE$44,Z$42)</f>
        <v>1.5353449990000001</v>
      </c>
      <c r="AA70" s="423"/>
      <c r="AB70" s="423"/>
      <c r="AC70" s="423"/>
      <c r="AD70" s="423"/>
      <c r="AE70" s="423"/>
      <c r="AF70" s="426"/>
      <c r="AG70" s="426"/>
      <c r="AH70" s="426"/>
      <c r="AI70" s="426"/>
      <c r="AJ70" s="426"/>
      <c r="AK70" s="426"/>
      <c r="AL70" s="422"/>
      <c r="AM70" s="426"/>
      <c r="AN70" s="426"/>
      <c r="AO70" s="426"/>
      <c r="AP70" s="423"/>
      <c r="AQ70" s="423"/>
      <c r="AR70" s="425"/>
      <c r="AS70" s="425"/>
      <c r="AT70" s="423"/>
      <c r="AU70" s="423"/>
      <c r="AV70" s="423"/>
      <c r="AW70" s="423"/>
      <c r="AX70" s="423"/>
      <c r="AY70" s="423"/>
      <c r="AZ70" s="423"/>
      <c r="BA70" s="423"/>
      <c r="BB70" s="423"/>
      <c r="BC70" s="423"/>
      <c r="BD70" s="423"/>
      <c r="BE70" s="423"/>
      <c r="BF70" s="480" t="str">
        <v>-</v>
      </c>
      <c r="BG70" s="470" t="str">
        <v>-</v>
      </c>
      <c r="BH70" s="426"/>
      <c r="BI70" s="423"/>
      <c r="BJ70" s="423"/>
      <c r="BK70" s="423"/>
      <c r="BL70" s="423"/>
      <c r="BM70" s="426"/>
      <c r="BN70" s="426"/>
      <c r="BO70" s="421"/>
      <c r="BP70" s="644"/>
      <c r="BQ70" s="645"/>
      <c r="BR70" s="645"/>
      <c r="BS70" s="645"/>
      <c r="BT70" s="645"/>
      <c r="BU70" s="645"/>
      <c r="BV70" s="645"/>
      <c r="BW70" s="645"/>
      <c r="BX70" s="645"/>
      <c r="BY70" s="645"/>
      <c r="BZ70" s="645"/>
      <c r="CA70" s="645"/>
      <c r="CB70" s="645"/>
      <c r="CC70" s="645"/>
      <c r="CD70" s="645"/>
      <c r="CE70" s="645"/>
      <c r="CF70" s="645"/>
      <c r="CG70" s="645"/>
      <c r="CH70" s="645"/>
      <c r="CI70" s="645"/>
      <c r="CJ70" s="645"/>
      <c r="CK70" s="645"/>
      <c r="CL70" s="645"/>
      <c r="CM70" s="645"/>
      <c r="CN70" s="645"/>
      <c r="CO70" s="645"/>
      <c r="CP70" s="645"/>
      <c r="CQ70" s="645"/>
      <c r="CR70" s="645"/>
      <c r="CS70" s="645"/>
      <c r="CT70" s="645"/>
      <c r="CU70" s="645"/>
      <c r="CV70" s="645"/>
      <c r="CW70" s="645"/>
      <c r="CX70" s="645"/>
      <c r="CY70" s="645"/>
      <c r="CZ70" s="645"/>
      <c r="DA70" s="645"/>
      <c r="DB70" s="645"/>
      <c r="DC70" s="645"/>
      <c r="DD70" s="645"/>
      <c r="DE70" s="645"/>
      <c r="DF70" s="645"/>
      <c r="DG70" s="645"/>
      <c r="DH70" s="645"/>
      <c r="DI70" s="645"/>
      <c r="DJ70" s="645"/>
      <c r="DK70" s="645"/>
      <c r="DL70" s="645"/>
      <c r="DM70" s="645"/>
      <c r="DN70" s="645"/>
      <c r="DO70" s="645"/>
      <c r="DP70" s="645"/>
      <c r="DQ70" s="645"/>
      <c r="DR70" s="645"/>
      <c r="DS70" s="645"/>
      <c r="DT70" s="645"/>
      <c r="DU70" s="645"/>
      <c r="DV70" s="645"/>
      <c r="DW70" s="645"/>
      <c r="DX70" s="645"/>
      <c r="DY70" s="645"/>
      <c r="DZ70" s="645"/>
    </row>
    <row r="71" spans="1:130">
      <c r="A71" s="613"/>
      <c r="B71" s="616" t="str">
        <f>IF(ISBLANK(C49),"","SwapFixYrf")</f>
        <v>SwapFixYrf</v>
      </c>
      <c r="C71" s="617">
        <v>8</v>
      </c>
      <c r="D71" s="426"/>
      <c r="E71" s="443" t="b">
        <v>1</v>
      </c>
      <c r="F71" s="591">
        <f t="shared" si="31"/>
        <v>33</v>
      </c>
      <c r="G71" s="423"/>
      <c r="H71" s="423"/>
      <c r="I71" s="461">
        <f t="shared" si="32"/>
        <v>1.5348372170000002</v>
      </c>
      <c r="J71" s="560"/>
      <c r="K71" s="463"/>
      <c r="L71" s="560">
        <f t="shared" si="33"/>
        <v>1.5348372170000002</v>
      </c>
      <c r="M71" s="465">
        <f t="shared" si="38"/>
        <v>33</v>
      </c>
      <c r="N71" s="466">
        <f t="shared" si="34"/>
        <v>33</v>
      </c>
      <c r="O71" s="465">
        <f t="shared" si="39"/>
        <v>33</v>
      </c>
      <c r="P71" s="466">
        <f t="shared" si="35"/>
        <v>35</v>
      </c>
      <c r="Q71" s="423"/>
      <c r="R71" s="592">
        <f t="shared" si="36"/>
        <v>35</v>
      </c>
      <c r="S71" s="464">
        <f t="shared" si="37"/>
        <v>1.5330000000000001</v>
      </c>
      <c r="T71" s="423"/>
      <c r="U71" s="469" t="e">
        <v>#N/A</v>
      </c>
      <c r="V71" s="470" t="e">
        <v>#N/A</v>
      </c>
      <c r="W71" s="426"/>
      <c r="X71" s="582">
        <v>29</v>
      </c>
      <c r="Y71" s="473">
        <f>_xll.RtGet($AE$42,$AE$43&amp;$X71&amp;$AE$44,Y$42)</f>
        <v>1.53582223</v>
      </c>
      <c r="Z71" s="474">
        <f>_xll.RtGet($AE$42,$AE$43&amp;$X71&amp;$AE$44,Z$42)</f>
        <v>1.53582223</v>
      </c>
      <c r="AA71" s="423"/>
      <c r="AB71" s="423"/>
      <c r="AC71" s="423"/>
      <c r="AD71" s="423"/>
      <c r="AE71" s="423"/>
      <c r="AF71" s="426"/>
      <c r="AG71" s="426"/>
      <c r="AH71" s="426"/>
      <c r="AI71" s="426"/>
      <c r="AJ71" s="426"/>
      <c r="AK71" s="426"/>
      <c r="AL71" s="422"/>
      <c r="AM71" s="426"/>
      <c r="AN71" s="426"/>
      <c r="AO71" s="426"/>
      <c r="AP71" s="423"/>
      <c r="AQ71" s="423"/>
      <c r="AR71" s="425"/>
      <c r="AS71" s="425"/>
      <c r="AT71" s="423"/>
      <c r="AU71" s="423"/>
      <c r="AV71" s="423"/>
      <c r="AW71" s="423"/>
      <c r="AX71" s="423"/>
      <c r="AY71" s="423"/>
      <c r="AZ71" s="423"/>
      <c r="BA71" s="423"/>
      <c r="BB71" s="423"/>
      <c r="BC71" s="423"/>
      <c r="BD71" s="423"/>
      <c r="BE71" s="423"/>
      <c r="BF71" s="480" t="str">
        <v>-</v>
      </c>
      <c r="BG71" s="470" t="str">
        <v>-</v>
      </c>
      <c r="BH71" s="426"/>
      <c r="BI71" s="423"/>
      <c r="BJ71" s="423"/>
      <c r="BK71" s="423"/>
      <c r="BL71" s="423"/>
      <c r="BM71" s="426"/>
      <c r="BN71" s="426"/>
      <c r="BO71" s="421"/>
      <c r="BP71" s="644"/>
      <c r="BQ71" s="645"/>
      <c r="BR71" s="645"/>
      <c r="BS71" s="645"/>
      <c r="BT71" s="645"/>
      <c r="BU71" s="645"/>
      <c r="BV71" s="645"/>
      <c r="BW71" s="645"/>
      <c r="BX71" s="645"/>
      <c r="BY71" s="645"/>
      <c r="BZ71" s="645"/>
      <c r="CA71" s="645"/>
      <c r="CB71" s="645"/>
      <c r="CC71" s="645"/>
      <c r="CD71" s="645"/>
      <c r="CE71" s="645"/>
      <c r="CF71" s="645"/>
      <c r="CG71" s="645"/>
      <c r="CH71" s="645"/>
      <c r="CI71" s="645"/>
      <c r="CJ71" s="645"/>
      <c r="CK71" s="645"/>
      <c r="CL71" s="645"/>
      <c r="CM71" s="645"/>
      <c r="CN71" s="645"/>
      <c r="CO71" s="645"/>
      <c r="CP71" s="645"/>
      <c r="CQ71" s="645"/>
      <c r="CR71" s="645"/>
      <c r="CS71" s="645"/>
      <c r="CT71" s="645"/>
      <c r="CU71" s="645"/>
      <c r="CV71" s="645"/>
      <c r="CW71" s="645"/>
      <c r="CX71" s="645"/>
      <c r="CY71" s="645"/>
      <c r="CZ71" s="645"/>
      <c r="DA71" s="645"/>
      <c r="DB71" s="645"/>
      <c r="DC71" s="645"/>
      <c r="DD71" s="645"/>
      <c r="DE71" s="645"/>
      <c r="DF71" s="645"/>
      <c r="DG71" s="645"/>
      <c r="DH71" s="645"/>
      <c r="DI71" s="645"/>
      <c r="DJ71" s="645"/>
      <c r="DK71" s="645"/>
      <c r="DL71" s="645"/>
      <c r="DM71" s="645"/>
      <c r="DN71" s="645"/>
      <c r="DO71" s="645"/>
      <c r="DP71" s="645"/>
      <c r="DQ71" s="645"/>
      <c r="DR71" s="645"/>
      <c r="DS71" s="645"/>
      <c r="DT71" s="645"/>
      <c r="DU71" s="645"/>
      <c r="DV71" s="645"/>
      <c r="DW71" s="645"/>
      <c r="DX71" s="645"/>
      <c r="DY71" s="645"/>
      <c r="DZ71" s="645"/>
    </row>
    <row r="72" spans="1:130">
      <c r="A72" s="613"/>
      <c r="B72" s="616" t="str">
        <f>IF(ISBLANK(C47),"","SwapMatType")</f>
        <v>SwapMatType</v>
      </c>
      <c r="C72" s="617">
        <v>0</v>
      </c>
      <c r="D72" s="426"/>
      <c r="E72" s="443" t="b">
        <v>1</v>
      </c>
      <c r="F72" s="591">
        <f t="shared" si="31"/>
        <v>34</v>
      </c>
      <c r="G72" s="423"/>
      <c r="H72" s="423"/>
      <c r="I72" s="461">
        <f t="shared" si="32"/>
        <v>1.5341048720000001</v>
      </c>
      <c r="J72" s="560"/>
      <c r="K72" s="463"/>
      <c r="L72" s="560">
        <f t="shared" si="33"/>
        <v>1.5341048720000001</v>
      </c>
      <c r="M72" s="465">
        <f t="shared" si="38"/>
        <v>34</v>
      </c>
      <c r="N72" s="466">
        <f t="shared" si="34"/>
        <v>34</v>
      </c>
      <c r="O72" s="465">
        <f t="shared" si="39"/>
        <v>34</v>
      </c>
      <c r="P72" s="466">
        <f t="shared" si="35"/>
        <v>36</v>
      </c>
      <c r="Q72" s="423"/>
      <c r="R72" s="592">
        <f t="shared" si="36"/>
        <v>36</v>
      </c>
      <c r="S72" s="464">
        <f t="shared" si="37"/>
        <v>1.5315809440000001</v>
      </c>
      <c r="T72" s="423"/>
      <c r="U72" s="469" t="e">
        <v>#N/A</v>
      </c>
      <c r="V72" s="470" t="e">
        <v>#N/A</v>
      </c>
      <c r="W72" s="426"/>
      <c r="X72" s="582">
        <v>30</v>
      </c>
      <c r="Y72" s="473">
        <f>_xll.RtGet($AE$42,$AE$43&amp;$X72&amp;$AE$44,Y$42)</f>
        <v>1.536</v>
      </c>
      <c r="Z72" s="474">
        <f>_xll.RtGet($AE$42,$AE$43&amp;$X72&amp;$AE$44,Z$42)</f>
        <v>1.536</v>
      </c>
      <c r="AA72" s="423"/>
      <c r="AB72" s="423"/>
      <c r="AC72" s="423"/>
      <c r="AD72" s="423"/>
      <c r="AE72" s="423"/>
      <c r="AF72" s="426"/>
      <c r="AG72" s="426"/>
      <c r="AH72" s="426"/>
      <c r="AI72" s="426"/>
      <c r="AJ72" s="426"/>
      <c r="AK72" s="426"/>
      <c r="AL72" s="422"/>
      <c r="AM72" s="426"/>
      <c r="AN72" s="426"/>
      <c r="AO72" s="426"/>
      <c r="AP72" s="423"/>
      <c r="AQ72" s="423"/>
      <c r="AR72" s="425"/>
      <c r="AS72" s="425"/>
      <c r="AT72" s="423"/>
      <c r="AU72" s="423"/>
      <c r="AV72" s="423"/>
      <c r="AW72" s="423"/>
      <c r="AX72" s="423"/>
      <c r="AY72" s="423"/>
      <c r="AZ72" s="423"/>
      <c r="BA72" s="423"/>
      <c r="BB72" s="423"/>
      <c r="BC72" s="423"/>
      <c r="BD72" s="423"/>
      <c r="BE72" s="423"/>
      <c r="BF72" s="480" t="str">
        <v>-</v>
      </c>
      <c r="BG72" s="470" t="str">
        <v>-</v>
      </c>
      <c r="BH72" s="426"/>
      <c r="BI72" s="423"/>
      <c r="BJ72" s="423"/>
      <c r="BK72" s="423"/>
      <c r="BL72" s="423"/>
      <c r="BM72" s="426"/>
      <c r="BN72" s="426"/>
      <c r="BO72" s="421"/>
      <c r="BP72" s="644"/>
      <c r="BQ72" s="645"/>
      <c r="BR72" s="645"/>
      <c r="BS72" s="645"/>
      <c r="BT72" s="645"/>
      <c r="BU72" s="645"/>
      <c r="BV72" s="645"/>
      <c r="BW72" s="645"/>
      <c r="BX72" s="645"/>
      <c r="BY72" s="645"/>
      <c r="BZ72" s="645"/>
      <c r="CA72" s="645"/>
      <c r="CB72" s="645"/>
      <c r="CC72" s="645"/>
      <c r="CD72" s="645"/>
      <c r="CE72" s="645"/>
      <c r="CF72" s="645"/>
      <c r="CG72" s="645"/>
      <c r="CH72" s="645"/>
      <c r="CI72" s="645"/>
      <c r="CJ72" s="645"/>
      <c r="CK72" s="645"/>
      <c r="CL72" s="645"/>
      <c r="CM72" s="645"/>
      <c r="CN72" s="645"/>
      <c r="CO72" s="645"/>
      <c r="CP72" s="645"/>
      <c r="CQ72" s="645"/>
      <c r="CR72" s="645"/>
      <c r="CS72" s="645"/>
      <c r="CT72" s="645"/>
      <c r="CU72" s="645"/>
      <c r="CV72" s="645"/>
      <c r="CW72" s="645"/>
      <c r="CX72" s="645"/>
      <c r="CY72" s="645"/>
      <c r="CZ72" s="645"/>
      <c r="DA72" s="645"/>
      <c r="DB72" s="645"/>
      <c r="DC72" s="645"/>
      <c r="DD72" s="645"/>
      <c r="DE72" s="645"/>
      <c r="DF72" s="645"/>
      <c r="DG72" s="645"/>
      <c r="DH72" s="645"/>
      <c r="DI72" s="645"/>
      <c r="DJ72" s="645"/>
      <c r="DK72" s="645"/>
      <c r="DL72" s="645"/>
      <c r="DM72" s="645"/>
      <c r="DN72" s="645"/>
      <c r="DO72" s="645"/>
      <c r="DP72" s="645"/>
      <c r="DQ72" s="645"/>
      <c r="DR72" s="645"/>
      <c r="DS72" s="645"/>
      <c r="DT72" s="645"/>
      <c r="DU72" s="645"/>
      <c r="DV72" s="645"/>
      <c r="DW72" s="645"/>
      <c r="DX72" s="645"/>
      <c r="DY72" s="645"/>
      <c r="DZ72" s="645"/>
    </row>
    <row r="73" spans="1:130">
      <c r="A73" s="613"/>
      <c r="B73" s="475" t="s">
        <v>1168</v>
      </c>
      <c r="C73" s="620">
        <v>0</v>
      </c>
      <c r="D73" s="426"/>
      <c r="E73" s="443" t="b">
        <v>1</v>
      </c>
      <c r="F73" s="591">
        <f t="shared" si="31"/>
        <v>35</v>
      </c>
      <c r="G73" s="423"/>
      <c r="H73" s="423"/>
      <c r="I73" s="461">
        <f t="shared" si="32"/>
        <v>1.5330000000000001</v>
      </c>
      <c r="J73" s="560"/>
      <c r="K73" s="463"/>
      <c r="L73" s="560">
        <f t="shared" si="33"/>
        <v>1.5330000000000001</v>
      </c>
      <c r="M73" s="465">
        <f t="shared" si="38"/>
        <v>35</v>
      </c>
      <c r="N73" s="466">
        <f t="shared" si="34"/>
        <v>35</v>
      </c>
      <c r="O73" s="465">
        <f t="shared" si="39"/>
        <v>35</v>
      </c>
      <c r="P73" s="466">
        <f t="shared" si="35"/>
        <v>37</v>
      </c>
      <c r="Q73" s="423"/>
      <c r="R73" s="592">
        <f t="shared" si="36"/>
        <v>37</v>
      </c>
      <c r="S73" s="464">
        <f t="shared" si="37"/>
        <v>1.5297946180000002</v>
      </c>
      <c r="T73" s="423"/>
      <c r="U73" s="469" t="e">
        <v>#N/A</v>
      </c>
      <c r="V73" s="470" t="e">
        <v>#N/A</v>
      </c>
      <c r="W73" s="426"/>
      <c r="X73" s="582">
        <v>31</v>
      </c>
      <c r="Y73" s="473">
        <f>_xll.RtGet($AE$42,$AE$43&amp;$X73&amp;$AE$44,Y$42)</f>
        <v>1.5357923440000001</v>
      </c>
      <c r="Z73" s="474">
        <f>_xll.RtGet($AE$42,$AE$43&amp;$X73&amp;$AE$44,Z$42)</f>
        <v>1.5357923440000001</v>
      </c>
      <c r="AA73" s="423"/>
      <c r="AB73" s="423"/>
      <c r="AC73" s="423"/>
      <c r="AD73" s="423"/>
      <c r="AE73" s="423"/>
      <c r="AF73" s="426"/>
      <c r="AG73" s="426"/>
      <c r="AH73" s="426"/>
      <c r="AI73" s="426"/>
      <c r="AJ73" s="426"/>
      <c r="AK73" s="426"/>
      <c r="AL73" s="422"/>
      <c r="AM73" s="426"/>
      <c r="AN73" s="426"/>
      <c r="AO73" s="426"/>
      <c r="AP73" s="423"/>
      <c r="AQ73" s="423"/>
      <c r="AR73" s="425"/>
      <c r="AS73" s="425"/>
      <c r="AT73" s="423"/>
      <c r="AU73" s="423"/>
      <c r="AV73" s="423"/>
      <c r="AW73" s="423"/>
      <c r="AX73" s="423"/>
      <c r="AY73" s="423"/>
      <c r="AZ73" s="423"/>
      <c r="BA73" s="423"/>
      <c r="BB73" s="423"/>
      <c r="BC73" s="423"/>
      <c r="BD73" s="423"/>
      <c r="BE73" s="423"/>
      <c r="BF73" s="480" t="str">
        <v>-</v>
      </c>
      <c r="BG73" s="470" t="str">
        <v>-</v>
      </c>
      <c r="BH73" s="426"/>
      <c r="BI73" s="423"/>
      <c r="BJ73" s="423"/>
      <c r="BK73" s="423"/>
      <c r="BL73" s="423"/>
      <c r="BM73" s="426"/>
      <c r="BN73" s="426"/>
      <c r="BO73" s="421"/>
      <c r="BP73" s="644"/>
      <c r="BQ73" s="645"/>
      <c r="BR73" s="645"/>
      <c r="BS73" s="645"/>
      <c r="BT73" s="645"/>
      <c r="BU73" s="645"/>
      <c r="BV73" s="645"/>
      <c r="BW73" s="645"/>
      <c r="BX73" s="645"/>
      <c r="BY73" s="645"/>
      <c r="BZ73" s="645"/>
      <c r="CA73" s="645"/>
      <c r="CB73" s="645"/>
      <c r="CC73" s="645"/>
      <c r="CD73" s="645"/>
      <c r="CE73" s="645"/>
      <c r="CF73" s="645"/>
      <c r="CG73" s="645"/>
      <c r="CH73" s="645"/>
      <c r="CI73" s="645"/>
      <c r="CJ73" s="645"/>
      <c r="CK73" s="645"/>
      <c r="CL73" s="645"/>
      <c r="CM73" s="645"/>
      <c r="CN73" s="645"/>
      <c r="CO73" s="645"/>
      <c r="CP73" s="645"/>
      <c r="CQ73" s="645"/>
      <c r="CR73" s="645"/>
      <c r="CS73" s="645"/>
      <c r="CT73" s="645"/>
      <c r="CU73" s="645"/>
      <c r="CV73" s="645"/>
      <c r="CW73" s="645"/>
      <c r="CX73" s="645"/>
      <c r="CY73" s="645"/>
      <c r="CZ73" s="645"/>
      <c r="DA73" s="645"/>
      <c r="DB73" s="645"/>
      <c r="DC73" s="645"/>
      <c r="DD73" s="645"/>
      <c r="DE73" s="645"/>
      <c r="DF73" s="645"/>
      <c r="DG73" s="645"/>
      <c r="DH73" s="645"/>
      <c r="DI73" s="645"/>
      <c r="DJ73" s="645"/>
      <c r="DK73" s="645"/>
      <c r="DL73" s="645"/>
      <c r="DM73" s="645"/>
      <c r="DN73" s="645"/>
      <c r="DO73" s="645"/>
      <c r="DP73" s="645"/>
      <c r="DQ73" s="645"/>
      <c r="DR73" s="645"/>
      <c r="DS73" s="645"/>
      <c r="DT73" s="645"/>
      <c r="DU73" s="645"/>
      <c r="DV73" s="645"/>
      <c r="DW73" s="645"/>
      <c r="DX73" s="645"/>
      <c r="DY73" s="645"/>
      <c r="DZ73" s="645"/>
    </row>
    <row r="74" spans="1:130">
      <c r="A74" s="613"/>
      <c r="B74" s="475" t="s">
        <v>1169</v>
      </c>
      <c r="C74" s="620">
        <v>0</v>
      </c>
      <c r="D74" s="426"/>
      <c r="E74" s="443" t="b">
        <v>1</v>
      </c>
      <c r="F74" s="591">
        <f t="shared" si="31"/>
        <v>36</v>
      </c>
      <c r="G74" s="423"/>
      <c r="H74" s="423"/>
      <c r="I74" s="461">
        <f t="shared" si="32"/>
        <v>1.5315809440000001</v>
      </c>
      <c r="J74" s="560"/>
      <c r="K74" s="463"/>
      <c r="L74" s="560">
        <f t="shared" si="33"/>
        <v>1.5315809440000001</v>
      </c>
      <c r="M74" s="465">
        <f t="shared" si="38"/>
        <v>36</v>
      </c>
      <c r="N74" s="466">
        <f t="shared" si="34"/>
        <v>36</v>
      </c>
      <c r="O74" s="465">
        <f t="shared" si="39"/>
        <v>36</v>
      </c>
      <c r="P74" s="466">
        <f t="shared" si="35"/>
        <v>38</v>
      </c>
      <c r="Q74" s="423"/>
      <c r="R74" s="592">
        <f t="shared" si="36"/>
        <v>38</v>
      </c>
      <c r="S74" s="464">
        <f t="shared" si="37"/>
        <v>1.5277101690000001</v>
      </c>
      <c r="T74" s="423"/>
      <c r="U74" s="469" t="e">
        <v>#N/A</v>
      </c>
      <c r="V74" s="470" t="e">
        <v>#N/A</v>
      </c>
      <c r="W74" s="426"/>
      <c r="X74" s="582">
        <v>32</v>
      </c>
      <c r="Y74" s="473">
        <f>_xll.RtGet($AE$42,$AE$43&amp;$X74&amp;$AE$44,Y$42)</f>
        <v>1.5354175480000001</v>
      </c>
      <c r="Z74" s="474">
        <f>_xll.RtGet($AE$42,$AE$43&amp;$X74&amp;$AE$44,Z$42)</f>
        <v>1.5354175480000001</v>
      </c>
      <c r="AA74" s="423"/>
      <c r="AB74" s="423"/>
      <c r="AC74" s="423"/>
      <c r="AD74" s="423"/>
      <c r="AE74" s="423"/>
      <c r="AF74" s="426"/>
      <c r="AG74" s="426"/>
      <c r="AH74" s="426"/>
      <c r="AI74" s="426"/>
      <c r="AJ74" s="426"/>
      <c r="AK74" s="426"/>
      <c r="AL74" s="422"/>
      <c r="AM74" s="426"/>
      <c r="AN74" s="426"/>
      <c r="AO74" s="426"/>
      <c r="AP74" s="423"/>
      <c r="AQ74" s="423"/>
      <c r="AR74" s="425"/>
      <c r="AS74" s="425"/>
      <c r="AT74" s="423"/>
      <c r="AU74" s="423"/>
      <c r="AV74" s="423"/>
      <c r="AW74" s="423"/>
      <c r="AX74" s="423"/>
      <c r="AY74" s="423"/>
      <c r="AZ74" s="423"/>
      <c r="BA74" s="423"/>
      <c r="BB74" s="423"/>
      <c r="BC74" s="423"/>
      <c r="BD74" s="423"/>
      <c r="BE74" s="423"/>
      <c r="BF74" s="480" t="str">
        <v>-</v>
      </c>
      <c r="BG74" s="470" t="str">
        <v>-</v>
      </c>
      <c r="BH74" s="426"/>
      <c r="BI74" s="423"/>
      <c r="BJ74" s="423"/>
      <c r="BK74" s="423"/>
      <c r="BL74" s="423"/>
      <c r="BM74" s="426"/>
      <c r="BN74" s="426"/>
      <c r="BO74" s="421"/>
      <c r="BP74" s="644"/>
      <c r="BQ74" s="645"/>
      <c r="BR74" s="645"/>
      <c r="BS74" s="645"/>
      <c r="BT74" s="645"/>
      <c r="BU74" s="645"/>
      <c r="BV74" s="645"/>
      <c r="BW74" s="645"/>
      <c r="BX74" s="645"/>
      <c r="BY74" s="645"/>
      <c r="BZ74" s="645"/>
      <c r="CA74" s="645"/>
      <c r="CB74" s="645"/>
      <c r="CC74" s="645"/>
      <c r="CD74" s="645"/>
      <c r="CE74" s="645"/>
      <c r="CF74" s="645"/>
      <c r="CG74" s="645"/>
      <c r="CH74" s="645"/>
      <c r="CI74" s="645"/>
      <c r="CJ74" s="645"/>
      <c r="CK74" s="645"/>
      <c r="CL74" s="645"/>
      <c r="CM74" s="645"/>
      <c r="CN74" s="645"/>
      <c r="CO74" s="645"/>
      <c r="CP74" s="645"/>
      <c r="CQ74" s="645"/>
      <c r="CR74" s="645"/>
      <c r="CS74" s="645"/>
      <c r="CT74" s="645"/>
      <c r="CU74" s="645"/>
      <c r="CV74" s="645"/>
      <c r="CW74" s="645"/>
      <c r="CX74" s="645"/>
      <c r="CY74" s="645"/>
      <c r="CZ74" s="645"/>
      <c r="DA74" s="645"/>
      <c r="DB74" s="645"/>
      <c r="DC74" s="645"/>
      <c r="DD74" s="645"/>
      <c r="DE74" s="645"/>
      <c r="DF74" s="645"/>
      <c r="DG74" s="645"/>
      <c r="DH74" s="645"/>
      <c r="DI74" s="645"/>
      <c r="DJ74" s="645"/>
      <c r="DK74" s="645"/>
      <c r="DL74" s="645"/>
      <c r="DM74" s="645"/>
      <c r="DN74" s="645"/>
      <c r="DO74" s="645"/>
      <c r="DP74" s="645"/>
      <c r="DQ74" s="645"/>
      <c r="DR74" s="645"/>
      <c r="DS74" s="645"/>
      <c r="DT74" s="645"/>
      <c r="DU74" s="645"/>
      <c r="DV74" s="645"/>
      <c r="DW74" s="645"/>
      <c r="DX74" s="645"/>
      <c r="DY74" s="645"/>
      <c r="DZ74" s="645"/>
    </row>
    <row r="75" spans="1:130">
      <c r="A75" s="613"/>
      <c r="B75" s="475" t="s">
        <v>1170</v>
      </c>
      <c r="C75" s="622">
        <f>IF(AND(C52,E23),1,0)</f>
        <v>1</v>
      </c>
      <c r="D75" s="426"/>
      <c r="E75" s="443" t="b">
        <v>1</v>
      </c>
      <c r="F75" s="591">
        <f t="shared" si="31"/>
        <v>37</v>
      </c>
      <c r="G75" s="423"/>
      <c r="H75" s="423"/>
      <c r="I75" s="461">
        <f t="shared" si="32"/>
        <v>1.5297946180000002</v>
      </c>
      <c r="J75" s="560"/>
      <c r="K75" s="463"/>
      <c r="L75" s="560">
        <f t="shared" si="33"/>
        <v>1.5297946180000002</v>
      </c>
      <c r="M75" s="465">
        <f t="shared" si="38"/>
        <v>37</v>
      </c>
      <c r="N75" s="466">
        <f t="shared" si="34"/>
        <v>37</v>
      </c>
      <c r="O75" s="465">
        <f t="shared" si="39"/>
        <v>37</v>
      </c>
      <c r="P75" s="466">
        <f t="shared" si="35"/>
        <v>39</v>
      </c>
      <c r="Q75" s="423"/>
      <c r="R75" s="592">
        <f t="shared" si="36"/>
        <v>39</v>
      </c>
      <c r="S75" s="464">
        <f t="shared" si="37"/>
        <v>1.525095842</v>
      </c>
      <c r="T75" s="423"/>
      <c r="U75" s="469" t="e">
        <v>#N/A</v>
      </c>
      <c r="V75" s="470" t="e">
        <v>#N/A</v>
      </c>
      <c r="W75" s="426"/>
      <c r="X75" s="582">
        <v>33</v>
      </c>
      <c r="Y75" s="473">
        <f>_xll.RtGet($AE$42,$AE$43&amp;$X75&amp;$AE$44,Y$42)</f>
        <v>1.5348372170000002</v>
      </c>
      <c r="Z75" s="474">
        <f>_xll.RtGet($AE$42,$AE$43&amp;$X75&amp;$AE$44,Z$42)</f>
        <v>1.5348372170000002</v>
      </c>
      <c r="AA75" s="423"/>
      <c r="AB75" s="423"/>
      <c r="AC75" s="423"/>
      <c r="AD75" s="423"/>
      <c r="AE75" s="423"/>
      <c r="AF75" s="426"/>
      <c r="AG75" s="426"/>
      <c r="AH75" s="426"/>
      <c r="AI75" s="426"/>
      <c r="AJ75" s="426"/>
      <c r="AK75" s="426"/>
      <c r="AL75" s="422"/>
      <c r="AM75" s="426"/>
      <c r="AN75" s="426"/>
      <c r="AO75" s="426"/>
      <c r="AP75" s="423"/>
      <c r="AQ75" s="423"/>
      <c r="AR75" s="425"/>
      <c r="AS75" s="425"/>
      <c r="AT75" s="423"/>
      <c r="AU75" s="423"/>
      <c r="AV75" s="423"/>
      <c r="AW75" s="423"/>
      <c r="AX75" s="423"/>
      <c r="AY75" s="423"/>
      <c r="AZ75" s="423"/>
      <c r="BA75" s="423"/>
      <c r="BB75" s="423"/>
      <c r="BC75" s="423"/>
      <c r="BD75" s="423"/>
      <c r="BE75" s="423"/>
      <c r="BF75" s="480" t="str">
        <v>-</v>
      </c>
      <c r="BG75" s="470" t="str">
        <v>-</v>
      </c>
      <c r="BH75" s="426"/>
      <c r="BI75" s="423"/>
      <c r="BJ75" s="423"/>
      <c r="BK75" s="423"/>
      <c r="BL75" s="423"/>
      <c r="BM75" s="426"/>
      <c r="BN75" s="426"/>
      <c r="BO75" s="421"/>
      <c r="BP75" s="644"/>
      <c r="BQ75" s="645"/>
      <c r="BR75" s="645"/>
      <c r="BS75" s="645"/>
      <c r="BT75" s="645"/>
      <c r="BU75" s="645"/>
      <c r="BV75" s="645"/>
      <c r="BW75" s="645"/>
      <c r="BX75" s="645"/>
      <c r="BY75" s="645"/>
      <c r="BZ75" s="645"/>
      <c r="CA75" s="645"/>
      <c r="CB75" s="645"/>
      <c r="CC75" s="645"/>
      <c r="CD75" s="645"/>
      <c r="CE75" s="645"/>
      <c r="CF75" s="645"/>
      <c r="CG75" s="645"/>
      <c r="CH75" s="645"/>
      <c r="CI75" s="645"/>
      <c r="CJ75" s="645"/>
      <c r="CK75" s="645"/>
      <c r="CL75" s="645"/>
      <c r="CM75" s="645"/>
      <c r="CN75" s="645"/>
      <c r="CO75" s="645"/>
      <c r="CP75" s="645"/>
      <c r="CQ75" s="645"/>
      <c r="CR75" s="645"/>
      <c r="CS75" s="645"/>
      <c r="CT75" s="645"/>
      <c r="CU75" s="645"/>
      <c r="CV75" s="645"/>
      <c r="CW75" s="645"/>
      <c r="CX75" s="645"/>
      <c r="CY75" s="645"/>
      <c r="CZ75" s="645"/>
      <c r="DA75" s="645"/>
      <c r="DB75" s="645"/>
      <c r="DC75" s="645"/>
      <c r="DD75" s="645"/>
      <c r="DE75" s="645"/>
      <c r="DF75" s="645"/>
      <c r="DG75" s="645"/>
      <c r="DH75" s="645"/>
      <c r="DI75" s="645"/>
      <c r="DJ75" s="645"/>
      <c r="DK75" s="645"/>
      <c r="DL75" s="645"/>
      <c r="DM75" s="645"/>
      <c r="DN75" s="645"/>
      <c r="DO75" s="645"/>
      <c r="DP75" s="645"/>
      <c r="DQ75" s="645"/>
      <c r="DR75" s="645"/>
      <c r="DS75" s="645"/>
      <c r="DT75" s="645"/>
      <c r="DU75" s="645"/>
      <c r="DV75" s="645"/>
      <c r="DW75" s="645"/>
      <c r="DX75" s="645"/>
      <c r="DY75" s="645"/>
      <c r="DZ75" s="645"/>
    </row>
    <row r="76" spans="1:130">
      <c r="A76" s="613"/>
      <c r="B76" s="475" t="s">
        <v>1171</v>
      </c>
      <c r="C76" s="623">
        <f>+L23</f>
        <v>-0.27200000000000002</v>
      </c>
      <c r="D76" s="426"/>
      <c r="E76" s="443" t="b">
        <v>1</v>
      </c>
      <c r="F76" s="591">
        <f t="shared" si="31"/>
        <v>38</v>
      </c>
      <c r="G76" s="423"/>
      <c r="H76" s="423"/>
      <c r="I76" s="461">
        <f t="shared" si="32"/>
        <v>1.5277101690000001</v>
      </c>
      <c r="J76" s="560"/>
      <c r="K76" s="463"/>
      <c r="L76" s="560">
        <f t="shared" si="33"/>
        <v>1.5277101690000001</v>
      </c>
      <c r="M76" s="465">
        <f t="shared" si="38"/>
        <v>38</v>
      </c>
      <c r="N76" s="466">
        <f t="shared" si="34"/>
        <v>38</v>
      </c>
      <c r="O76" s="465">
        <f t="shared" si="39"/>
        <v>38</v>
      </c>
      <c r="P76" s="466">
        <f t="shared" si="35"/>
        <v>40</v>
      </c>
      <c r="Q76" s="423"/>
      <c r="R76" s="592">
        <f t="shared" si="36"/>
        <v>40</v>
      </c>
      <c r="S76" s="464">
        <f t="shared" si="37"/>
        <v>1.522</v>
      </c>
      <c r="T76" s="423"/>
      <c r="U76" s="469" t="e">
        <v>#N/A</v>
      </c>
      <c r="V76" s="470" t="e">
        <v>#N/A</v>
      </c>
      <c r="W76" s="426"/>
      <c r="X76" s="582">
        <v>34</v>
      </c>
      <c r="Y76" s="473">
        <f>_xll.RtGet($AE$42,$AE$43&amp;$X76&amp;$AE$44,Y$42)</f>
        <v>1.5341048720000001</v>
      </c>
      <c r="Z76" s="474">
        <f>_xll.RtGet($AE$42,$AE$43&amp;$X76&amp;$AE$44,Z$42)</f>
        <v>1.5341048720000001</v>
      </c>
      <c r="AA76" s="423"/>
      <c r="AB76" s="423"/>
      <c r="AC76" s="423"/>
      <c r="AD76" s="423"/>
      <c r="AE76" s="423"/>
      <c r="AF76" s="426"/>
      <c r="AG76" s="426"/>
      <c r="AH76" s="426"/>
      <c r="AI76" s="426"/>
      <c r="AJ76" s="426"/>
      <c r="AK76" s="426"/>
      <c r="AL76" s="422"/>
      <c r="AM76" s="426"/>
      <c r="AN76" s="426"/>
      <c r="AO76" s="426"/>
      <c r="AP76" s="423"/>
      <c r="AQ76" s="423"/>
      <c r="AR76" s="425"/>
      <c r="AS76" s="425"/>
      <c r="AT76" s="423"/>
      <c r="AU76" s="423"/>
      <c r="AV76" s="423"/>
      <c r="AW76" s="423"/>
      <c r="AX76" s="423"/>
      <c r="AY76" s="423"/>
      <c r="AZ76" s="423"/>
      <c r="BA76" s="423"/>
      <c r="BB76" s="423"/>
      <c r="BC76" s="423"/>
      <c r="BD76" s="423"/>
      <c r="BE76" s="423"/>
      <c r="BF76" s="480" t="str">
        <v>-</v>
      </c>
      <c r="BG76" s="470" t="str">
        <v>-</v>
      </c>
      <c r="BH76" s="426"/>
      <c r="BI76" s="423"/>
      <c r="BJ76" s="423"/>
      <c r="BK76" s="423"/>
      <c r="BL76" s="423"/>
      <c r="BM76" s="426"/>
      <c r="BN76" s="426"/>
      <c r="BO76" s="421"/>
      <c r="BP76" s="644"/>
      <c r="BQ76" s="645"/>
      <c r="BR76" s="645"/>
      <c r="BS76" s="645"/>
      <c r="BT76" s="645"/>
      <c r="BU76" s="645"/>
      <c r="BV76" s="645"/>
      <c r="BW76" s="645"/>
      <c r="BX76" s="645"/>
      <c r="BY76" s="645"/>
      <c r="BZ76" s="645"/>
      <c r="CA76" s="645"/>
      <c r="CB76" s="645"/>
      <c r="CC76" s="645"/>
      <c r="CD76" s="645"/>
      <c r="CE76" s="645"/>
      <c r="CF76" s="645"/>
      <c r="CG76" s="645"/>
      <c r="CH76" s="645"/>
      <c r="CI76" s="645"/>
      <c r="CJ76" s="645"/>
      <c r="CK76" s="645"/>
      <c r="CL76" s="645"/>
      <c r="CM76" s="645"/>
      <c r="CN76" s="645"/>
      <c r="CO76" s="645"/>
      <c r="CP76" s="645"/>
      <c r="CQ76" s="645"/>
      <c r="CR76" s="645"/>
      <c r="CS76" s="645"/>
      <c r="CT76" s="645"/>
      <c r="CU76" s="645"/>
      <c r="CV76" s="645"/>
      <c r="CW76" s="645"/>
      <c r="CX76" s="645"/>
      <c r="CY76" s="645"/>
      <c r="CZ76" s="645"/>
      <c r="DA76" s="645"/>
      <c r="DB76" s="645"/>
      <c r="DC76" s="645"/>
      <c r="DD76" s="645"/>
      <c r="DE76" s="645"/>
      <c r="DF76" s="645"/>
      <c r="DG76" s="645"/>
      <c r="DH76" s="645"/>
      <c r="DI76" s="645"/>
      <c r="DJ76" s="645"/>
      <c r="DK76" s="645"/>
      <c r="DL76" s="645"/>
      <c r="DM76" s="645"/>
      <c r="DN76" s="645"/>
      <c r="DO76" s="645"/>
      <c r="DP76" s="645"/>
      <c r="DQ76" s="645"/>
      <c r="DR76" s="645"/>
      <c r="DS76" s="645"/>
      <c r="DT76" s="645"/>
      <c r="DU76" s="645"/>
      <c r="DV76" s="645"/>
      <c r="DW76" s="645"/>
      <c r="DX76" s="645"/>
      <c r="DY76" s="645"/>
      <c r="DZ76" s="645"/>
    </row>
    <row r="77" spans="1:130">
      <c r="A77" s="613"/>
      <c r="B77" s="624" t="s">
        <v>1046</v>
      </c>
      <c r="C77" s="625">
        <f>VLOOKUP(C34,AG26:AH27,2)</f>
        <v>0</v>
      </c>
      <c r="D77" s="426"/>
      <c r="E77" s="443" t="b">
        <v>1</v>
      </c>
      <c r="F77" s="591">
        <f t="shared" si="31"/>
        <v>39</v>
      </c>
      <c r="G77" s="423"/>
      <c r="H77" s="423"/>
      <c r="I77" s="461">
        <f t="shared" si="32"/>
        <v>1.525095842</v>
      </c>
      <c r="J77" s="560"/>
      <c r="K77" s="463"/>
      <c r="L77" s="560">
        <f t="shared" si="33"/>
        <v>1.525095842</v>
      </c>
      <c r="M77" s="465">
        <f t="shared" si="38"/>
        <v>39</v>
      </c>
      <c r="N77" s="466">
        <f t="shared" si="34"/>
        <v>39</v>
      </c>
      <c r="O77" s="465">
        <f t="shared" si="39"/>
        <v>39</v>
      </c>
      <c r="P77" s="466">
        <f t="shared" si="35"/>
        <v>41</v>
      </c>
      <c r="Q77" s="423"/>
      <c r="R77" s="592">
        <f t="shared" si="36"/>
        <v>50</v>
      </c>
      <c r="S77" s="464">
        <f t="shared" si="37"/>
        <v>1.4790000000000001</v>
      </c>
      <c r="T77" s="423"/>
      <c r="U77" s="469" t="e">
        <v>#N/A</v>
      </c>
      <c r="V77" s="470" t="e">
        <v>#N/A</v>
      </c>
      <c r="W77" s="426"/>
      <c r="X77" s="582">
        <v>35</v>
      </c>
      <c r="Y77" s="473">
        <f>_xll.RtGet($AE$42,$AE$43&amp;$X77&amp;$AE$44,Y$42)</f>
        <v>1.5330000000000001</v>
      </c>
      <c r="Z77" s="474">
        <f>_xll.RtGet($AE$42,$AE$43&amp;$X77&amp;$AE$44,Z$42)</f>
        <v>1.5330000000000001</v>
      </c>
      <c r="AA77" s="423"/>
      <c r="AB77" s="423"/>
      <c r="AC77" s="423"/>
      <c r="AD77" s="423"/>
      <c r="AE77" s="423"/>
      <c r="AF77" s="426"/>
      <c r="AG77" s="426"/>
      <c r="AH77" s="426"/>
      <c r="AI77" s="426"/>
      <c r="AJ77" s="426"/>
      <c r="AK77" s="426"/>
      <c r="AL77" s="422"/>
      <c r="AM77" s="426"/>
      <c r="AN77" s="426"/>
      <c r="AO77" s="426"/>
      <c r="AP77" s="423"/>
      <c r="AQ77" s="423"/>
      <c r="AR77" s="425"/>
      <c r="AS77" s="425"/>
      <c r="AT77" s="423"/>
      <c r="AU77" s="423"/>
      <c r="AV77" s="423"/>
      <c r="AW77" s="423"/>
      <c r="AX77" s="423"/>
      <c r="AY77" s="423"/>
      <c r="AZ77" s="423"/>
      <c r="BA77" s="423"/>
      <c r="BB77" s="423"/>
      <c r="BC77" s="423"/>
      <c r="BD77" s="423"/>
      <c r="BE77" s="423"/>
      <c r="BF77" s="480" t="str">
        <v>-</v>
      </c>
      <c r="BG77" s="470" t="str">
        <v>-</v>
      </c>
      <c r="BH77" s="426"/>
      <c r="BI77" s="423"/>
      <c r="BJ77" s="423"/>
      <c r="BK77" s="423"/>
      <c r="BL77" s="423"/>
      <c r="BM77" s="426"/>
      <c r="BN77" s="426"/>
      <c r="BO77" s="421"/>
      <c r="BP77" s="644"/>
      <c r="BQ77" s="645"/>
      <c r="BR77" s="645"/>
      <c r="BS77" s="645"/>
      <c r="BT77" s="645"/>
      <c r="BU77" s="645"/>
      <c r="BV77" s="645"/>
      <c r="BW77" s="645"/>
      <c r="BX77" s="645"/>
      <c r="BY77" s="645"/>
      <c r="BZ77" s="645"/>
      <c r="CA77" s="645"/>
      <c r="CB77" s="645"/>
      <c r="CC77" s="645"/>
      <c r="CD77" s="645"/>
      <c r="CE77" s="645"/>
      <c r="CF77" s="645"/>
      <c r="CG77" s="645"/>
      <c r="CH77" s="645"/>
      <c r="CI77" s="645"/>
      <c r="CJ77" s="645"/>
      <c r="CK77" s="645"/>
      <c r="CL77" s="645"/>
      <c r="CM77" s="645"/>
      <c r="CN77" s="645"/>
      <c r="CO77" s="645"/>
      <c r="CP77" s="645"/>
      <c r="CQ77" s="645"/>
      <c r="CR77" s="645"/>
      <c r="CS77" s="645"/>
      <c r="CT77" s="645"/>
      <c r="CU77" s="645"/>
      <c r="CV77" s="645"/>
      <c r="CW77" s="645"/>
      <c r="CX77" s="645"/>
      <c r="CY77" s="645"/>
      <c r="CZ77" s="645"/>
      <c r="DA77" s="645"/>
      <c r="DB77" s="645"/>
      <c r="DC77" s="645"/>
      <c r="DD77" s="645"/>
      <c r="DE77" s="645"/>
      <c r="DF77" s="645"/>
      <c r="DG77" s="645"/>
      <c r="DH77" s="645"/>
      <c r="DI77" s="645"/>
      <c r="DJ77" s="645"/>
      <c r="DK77" s="645"/>
      <c r="DL77" s="645"/>
      <c r="DM77" s="645"/>
      <c r="DN77" s="645"/>
      <c r="DO77" s="645"/>
      <c r="DP77" s="645"/>
      <c r="DQ77" s="645"/>
      <c r="DR77" s="645"/>
      <c r="DS77" s="645"/>
      <c r="DT77" s="645"/>
      <c r="DU77" s="645"/>
      <c r="DV77" s="645"/>
      <c r="DW77" s="645"/>
      <c r="DX77" s="645"/>
      <c r="DY77" s="645"/>
      <c r="DZ77" s="645"/>
    </row>
    <row r="78" spans="1:130">
      <c r="A78" s="613"/>
      <c r="B78" s="626" t="s">
        <v>61</v>
      </c>
      <c r="C78" s="627">
        <f>S2</f>
        <v>15</v>
      </c>
      <c r="D78" s="426"/>
      <c r="E78" s="443" t="b">
        <v>1</v>
      </c>
      <c r="F78" s="591">
        <f>IF(LEN(X82)&gt;0,X82,"")</f>
        <v>40</v>
      </c>
      <c r="G78" s="423"/>
      <c r="H78" s="423"/>
      <c r="I78" s="461">
        <f>AVERAGE(Y82:Z82)</f>
        <v>1.522</v>
      </c>
      <c r="J78" s="560"/>
      <c r="K78" s="463"/>
      <c r="L78" s="560">
        <f t="shared" si="33"/>
        <v>1.522</v>
      </c>
      <c r="M78" s="465">
        <f t="shared" si="38"/>
        <v>40</v>
      </c>
      <c r="N78" s="466">
        <f t="shared" si="34"/>
        <v>40</v>
      </c>
      <c r="O78" s="465">
        <f t="shared" si="39"/>
        <v>40</v>
      </c>
      <c r="P78" s="466">
        <f t="shared" si="35"/>
        <v>42</v>
      </c>
      <c r="Q78" s="423"/>
      <c r="R78" s="592">
        <f t="shared" si="36"/>
        <v>60</v>
      </c>
      <c r="S78" s="464">
        <f t="shared" si="37"/>
        <v>1.45</v>
      </c>
      <c r="T78" s="423"/>
      <c r="U78" s="469" t="e">
        <v>#N/A</v>
      </c>
      <c r="V78" s="470" t="e">
        <v>#N/A</v>
      </c>
      <c r="W78" s="426"/>
      <c r="X78" s="582">
        <v>36</v>
      </c>
      <c r="Y78" s="473">
        <f>_xll.RtGet($AE$42,$AE$43&amp;$X78&amp;$AE$44,Y$42)</f>
        <v>1.5315809440000001</v>
      </c>
      <c r="Z78" s="474">
        <f>_xll.RtGet($AE$42,$AE$43&amp;$X78&amp;$AE$44,Z$42)</f>
        <v>1.5315809440000001</v>
      </c>
      <c r="AA78" s="423"/>
      <c r="AB78" s="423"/>
      <c r="AC78" s="423"/>
      <c r="AD78" s="423"/>
      <c r="AE78" s="423"/>
      <c r="AF78" s="426"/>
      <c r="AG78" s="426"/>
      <c r="AH78" s="426"/>
      <c r="AI78" s="426"/>
      <c r="AJ78" s="426"/>
      <c r="AK78" s="426"/>
      <c r="AL78" s="422"/>
      <c r="AM78" s="426"/>
      <c r="AN78" s="426"/>
      <c r="AO78" s="426"/>
      <c r="AP78" s="423"/>
      <c r="AQ78" s="423"/>
      <c r="AR78" s="425"/>
      <c r="AS78" s="425"/>
      <c r="AT78" s="423"/>
      <c r="AU78" s="423"/>
      <c r="AV78" s="423"/>
      <c r="AW78" s="423"/>
      <c r="AX78" s="423"/>
      <c r="AY78" s="423"/>
      <c r="AZ78" s="423"/>
      <c r="BA78" s="423"/>
      <c r="BB78" s="423"/>
      <c r="BC78" s="423"/>
      <c r="BD78" s="423"/>
      <c r="BE78" s="423"/>
      <c r="BF78" s="480" t="str">
        <v>-</v>
      </c>
      <c r="BG78" s="470" t="str">
        <v>-</v>
      </c>
      <c r="BH78" s="426"/>
      <c r="BI78" s="423"/>
      <c r="BJ78" s="423"/>
      <c r="BK78" s="423"/>
      <c r="BL78" s="423"/>
      <c r="BM78" s="426"/>
      <c r="BN78" s="426"/>
      <c r="BO78" s="421"/>
      <c r="BP78" s="644"/>
      <c r="BQ78" s="645"/>
      <c r="BR78" s="645"/>
      <c r="BS78" s="645"/>
      <c r="BT78" s="645"/>
      <c r="BU78" s="645"/>
      <c r="BV78" s="645"/>
      <c r="BW78" s="645"/>
      <c r="BX78" s="645"/>
      <c r="BY78" s="645"/>
      <c r="BZ78" s="645"/>
      <c r="CA78" s="645"/>
      <c r="CB78" s="645"/>
      <c r="CC78" s="645"/>
      <c r="CD78" s="645"/>
      <c r="CE78" s="645"/>
      <c r="CF78" s="645"/>
      <c r="CG78" s="645"/>
      <c r="CH78" s="645"/>
      <c r="CI78" s="645"/>
      <c r="CJ78" s="645"/>
      <c r="CK78" s="645"/>
      <c r="CL78" s="645"/>
      <c r="CM78" s="645"/>
      <c r="CN78" s="645"/>
      <c r="CO78" s="645"/>
      <c r="CP78" s="645"/>
      <c r="CQ78" s="645"/>
      <c r="CR78" s="645"/>
      <c r="CS78" s="645"/>
      <c r="CT78" s="645"/>
      <c r="CU78" s="645"/>
      <c r="CV78" s="645"/>
      <c r="CW78" s="645"/>
      <c r="CX78" s="645"/>
      <c r="CY78" s="645"/>
      <c r="CZ78" s="645"/>
      <c r="DA78" s="645"/>
      <c r="DB78" s="645"/>
      <c r="DC78" s="645"/>
      <c r="DD78" s="645"/>
      <c r="DE78" s="645"/>
      <c r="DF78" s="645"/>
      <c r="DG78" s="645"/>
      <c r="DH78" s="645"/>
      <c r="DI78" s="645"/>
      <c r="DJ78" s="645"/>
      <c r="DK78" s="645"/>
      <c r="DL78" s="645"/>
      <c r="DM78" s="645"/>
      <c r="DN78" s="645"/>
      <c r="DO78" s="645"/>
      <c r="DP78" s="645"/>
      <c r="DQ78" s="645"/>
      <c r="DR78" s="645"/>
      <c r="DS78" s="645"/>
      <c r="DT78" s="645"/>
      <c r="DU78" s="645"/>
      <c r="DV78" s="645"/>
      <c r="DW78" s="645"/>
      <c r="DX78" s="645"/>
      <c r="DY78" s="645"/>
      <c r="DZ78" s="645"/>
    </row>
    <row r="79" spans="1:130">
      <c r="A79" s="613"/>
      <c r="B79" s="613" t="s">
        <v>1172</v>
      </c>
      <c r="C79" s="620">
        <f>S25</f>
        <v>6</v>
      </c>
      <c r="D79" s="426"/>
      <c r="E79" s="443" t="b">
        <v>1</v>
      </c>
      <c r="F79" s="591">
        <f>IF(LEN(X83)&gt;0,X83,"")</f>
        <v>50</v>
      </c>
      <c r="G79" s="423"/>
      <c r="H79" s="423"/>
      <c r="I79" s="461">
        <f>AVERAGE(Y83:Z83)</f>
        <v>1.4790000000000001</v>
      </c>
      <c r="J79" s="560"/>
      <c r="K79" s="463"/>
      <c r="L79" s="560">
        <f t="shared" si="33"/>
        <v>1.4790000000000001</v>
      </c>
      <c r="M79" s="465">
        <f t="shared" si="38"/>
        <v>41</v>
      </c>
      <c r="N79" s="466">
        <f t="shared" si="34"/>
        <v>41</v>
      </c>
      <c r="O79" s="465" t="str">
        <f t="shared" si="39"/>
        <v/>
      </c>
      <c r="P79" s="466" t="str">
        <f t="shared" si="35"/>
        <v/>
      </c>
      <c r="Q79" s="423"/>
      <c r="R79" s="592" t="str">
        <f t="shared" si="36"/>
        <v/>
      </c>
      <c r="S79" s="464" t="str">
        <f t="shared" si="37"/>
        <v/>
      </c>
      <c r="T79" s="423"/>
      <c r="U79" s="469" t="e">
        <v>#N/A</v>
      </c>
      <c r="V79" s="470" t="e">
        <v>#N/A</v>
      </c>
      <c r="W79" s="426"/>
      <c r="X79" s="582">
        <v>37</v>
      </c>
      <c r="Y79" s="473">
        <f>_xll.RtGet($AE$42,$AE$43&amp;$X79&amp;$AE$44,Y$42)</f>
        <v>1.5297946180000002</v>
      </c>
      <c r="Z79" s="474">
        <f>_xll.RtGet($AE$42,$AE$43&amp;$X79&amp;$AE$44,Z$42)</f>
        <v>1.5297946180000002</v>
      </c>
      <c r="AA79" s="423"/>
      <c r="AB79" s="423"/>
      <c r="AC79" s="423"/>
      <c r="AD79" s="423"/>
      <c r="AE79" s="423"/>
      <c r="AF79" s="426"/>
      <c r="AG79" s="426"/>
      <c r="AH79" s="426"/>
      <c r="AI79" s="426"/>
      <c r="AJ79" s="426"/>
      <c r="AK79" s="426"/>
      <c r="AL79" s="422"/>
      <c r="AM79" s="426"/>
      <c r="AN79" s="426"/>
      <c r="AO79" s="426"/>
      <c r="AP79" s="423"/>
      <c r="AQ79" s="423"/>
      <c r="AR79" s="425"/>
      <c r="AS79" s="425"/>
      <c r="AT79" s="423"/>
      <c r="AU79" s="423"/>
      <c r="AV79" s="423"/>
      <c r="AW79" s="423"/>
      <c r="AX79" s="423"/>
      <c r="AY79" s="423"/>
      <c r="AZ79" s="423"/>
      <c r="BA79" s="423"/>
      <c r="BB79" s="423"/>
      <c r="BC79" s="423"/>
      <c r="BD79" s="423"/>
      <c r="BE79" s="423"/>
      <c r="BF79" s="480" t="str">
        <v>-</v>
      </c>
      <c r="BG79" s="470" t="str">
        <v>-</v>
      </c>
      <c r="BH79" s="426"/>
      <c r="BI79" s="423"/>
      <c r="BJ79" s="423"/>
      <c r="BK79" s="423"/>
      <c r="BL79" s="423"/>
      <c r="BM79" s="426"/>
      <c r="BN79" s="426"/>
      <c r="BO79" s="421"/>
      <c r="BP79" s="644"/>
      <c r="BQ79" s="645"/>
      <c r="BR79" s="645"/>
      <c r="BS79" s="645"/>
      <c r="BT79" s="645"/>
      <c r="BU79" s="645"/>
      <c r="BV79" s="645"/>
      <c r="BW79" s="645"/>
      <c r="BX79" s="645"/>
      <c r="BY79" s="645"/>
      <c r="BZ79" s="645"/>
      <c r="CA79" s="645"/>
      <c r="CB79" s="645"/>
      <c r="CC79" s="645"/>
      <c r="CD79" s="645"/>
      <c r="CE79" s="645"/>
      <c r="CF79" s="645"/>
      <c r="CG79" s="645"/>
      <c r="CH79" s="645"/>
      <c r="CI79" s="645"/>
      <c r="CJ79" s="645"/>
      <c r="CK79" s="645"/>
      <c r="CL79" s="645"/>
      <c r="CM79" s="645"/>
      <c r="CN79" s="645"/>
      <c r="CO79" s="645"/>
      <c r="CP79" s="645"/>
      <c r="CQ79" s="645"/>
      <c r="CR79" s="645"/>
      <c r="CS79" s="645"/>
      <c r="CT79" s="645"/>
      <c r="CU79" s="645"/>
      <c r="CV79" s="645"/>
      <c r="CW79" s="645"/>
      <c r="CX79" s="645"/>
      <c r="CY79" s="645"/>
      <c r="CZ79" s="645"/>
      <c r="DA79" s="645"/>
      <c r="DB79" s="645"/>
      <c r="DC79" s="645"/>
      <c r="DD79" s="645"/>
      <c r="DE79" s="645"/>
      <c r="DF79" s="645"/>
      <c r="DG79" s="645"/>
      <c r="DH79" s="645"/>
      <c r="DI79" s="645"/>
      <c r="DJ79" s="645"/>
      <c r="DK79" s="645"/>
      <c r="DL79" s="645"/>
      <c r="DM79" s="645"/>
      <c r="DN79" s="645"/>
      <c r="DO79" s="645"/>
      <c r="DP79" s="645"/>
      <c r="DQ79" s="645"/>
      <c r="DR79" s="645"/>
      <c r="DS79" s="645"/>
      <c r="DT79" s="645"/>
      <c r="DU79" s="645"/>
      <c r="DV79" s="645"/>
      <c r="DW79" s="645"/>
      <c r="DX79" s="645"/>
      <c r="DY79" s="645"/>
      <c r="DZ79" s="645"/>
    </row>
    <row r="80" spans="1:130">
      <c r="A80" s="613"/>
      <c r="B80" s="628" t="s">
        <v>66</v>
      </c>
      <c r="C80" s="629">
        <f>S38</f>
        <v>40</v>
      </c>
      <c r="D80" s="426"/>
      <c r="E80" s="498" t="b">
        <v>1</v>
      </c>
      <c r="F80" s="630">
        <f>IF(LEN(X84)&gt;0,X84,"")</f>
        <v>60</v>
      </c>
      <c r="G80" s="423"/>
      <c r="H80" s="423"/>
      <c r="I80" s="501">
        <f>AVERAGE(Y84:Z84)</f>
        <v>1.45</v>
      </c>
      <c r="J80" s="543"/>
      <c r="K80" s="503"/>
      <c r="L80" s="543">
        <f t="shared" si="33"/>
        <v>1.45</v>
      </c>
      <c r="M80" s="527">
        <f t="shared" si="38"/>
        <v>42</v>
      </c>
      <c r="N80" s="528">
        <f t="shared" si="34"/>
        <v>42</v>
      </c>
      <c r="O80" s="527" t="str">
        <f t="shared" si="39"/>
        <v/>
      </c>
      <c r="P80" s="528" t="str">
        <f t="shared" si="35"/>
        <v/>
      </c>
      <c r="Q80" s="423"/>
      <c r="R80" s="631" t="str">
        <f t="shared" si="36"/>
        <v/>
      </c>
      <c r="S80" s="504" t="str">
        <f t="shared" si="37"/>
        <v/>
      </c>
      <c r="T80" s="423"/>
      <c r="U80" s="632" t="e">
        <v>#N/A</v>
      </c>
      <c r="V80" s="471" t="e">
        <v>#N/A</v>
      </c>
      <c r="W80" s="426"/>
      <c r="X80" s="582">
        <v>38</v>
      </c>
      <c r="Y80" s="473">
        <f>_xll.RtGet($AE$42,$AE$43&amp;$X80&amp;$AE$44,Y$42)</f>
        <v>1.5277101690000001</v>
      </c>
      <c r="Z80" s="474">
        <f>_xll.RtGet($AE$42,$AE$43&amp;$X80&amp;$AE$44,Z$42)</f>
        <v>1.5277101690000001</v>
      </c>
      <c r="AA80" s="423"/>
      <c r="AB80" s="423"/>
      <c r="AC80" s="423"/>
      <c r="AD80" s="423"/>
      <c r="AE80" s="423"/>
      <c r="AF80" s="426"/>
      <c r="AG80" s="426"/>
      <c r="AH80" s="426"/>
      <c r="AI80" s="426"/>
      <c r="AJ80" s="426"/>
      <c r="AK80" s="426"/>
      <c r="AL80" s="422"/>
      <c r="AM80" s="426"/>
      <c r="AN80" s="426"/>
      <c r="AO80" s="426"/>
      <c r="AP80" s="423"/>
      <c r="AQ80" s="423"/>
      <c r="AR80" s="425"/>
      <c r="AS80" s="425"/>
      <c r="AT80" s="423"/>
      <c r="AU80" s="423"/>
      <c r="AV80" s="423"/>
      <c r="AW80" s="423"/>
      <c r="AX80" s="423"/>
      <c r="AY80" s="423"/>
      <c r="AZ80" s="423"/>
      <c r="BA80" s="423"/>
      <c r="BB80" s="423"/>
      <c r="BC80" s="423"/>
      <c r="BD80" s="423"/>
      <c r="BE80" s="423"/>
      <c r="BF80" s="481" t="str">
        <v>-</v>
      </c>
      <c r="BG80" s="471" t="str">
        <v>-</v>
      </c>
      <c r="BH80" s="426"/>
      <c r="BI80" s="423"/>
      <c r="BJ80" s="423"/>
      <c r="BK80" s="423"/>
      <c r="BL80" s="423"/>
      <c r="BM80" s="426"/>
      <c r="BN80" s="426"/>
      <c r="BO80" s="421"/>
      <c r="BP80" s="644"/>
      <c r="BQ80" s="645"/>
      <c r="BR80" s="645"/>
      <c r="BS80" s="645"/>
      <c r="BT80" s="645"/>
      <c r="BU80" s="645"/>
      <c r="BV80" s="645"/>
      <c r="BW80" s="645"/>
      <c r="BX80" s="645"/>
      <c r="BY80" s="645"/>
      <c r="BZ80" s="645"/>
      <c r="CA80" s="645"/>
      <c r="CB80" s="645"/>
      <c r="CC80" s="645"/>
      <c r="CD80" s="645"/>
      <c r="CE80" s="645"/>
      <c r="CF80" s="645"/>
      <c r="CG80" s="645"/>
      <c r="CH80" s="645"/>
      <c r="CI80" s="645"/>
      <c r="CJ80" s="645"/>
      <c r="CK80" s="645"/>
      <c r="CL80" s="645"/>
      <c r="CM80" s="645"/>
      <c r="CN80" s="645"/>
      <c r="CO80" s="645"/>
      <c r="CP80" s="645"/>
      <c r="CQ80" s="645"/>
      <c r="CR80" s="645"/>
      <c r="CS80" s="645"/>
      <c r="CT80" s="645"/>
      <c r="CU80" s="645"/>
      <c r="CV80" s="645"/>
      <c r="CW80" s="645"/>
      <c r="CX80" s="645"/>
      <c r="CY80" s="645"/>
      <c r="CZ80" s="645"/>
      <c r="DA80" s="645"/>
      <c r="DB80" s="645"/>
      <c r="DC80" s="645"/>
      <c r="DD80" s="645"/>
      <c r="DE80" s="645"/>
      <c r="DF80" s="645"/>
      <c r="DG80" s="645"/>
      <c r="DH80" s="645"/>
      <c r="DI80" s="645"/>
      <c r="DJ80" s="645"/>
      <c r="DK80" s="645"/>
      <c r="DL80" s="645"/>
      <c r="DM80" s="645"/>
      <c r="DN80" s="645"/>
      <c r="DO80" s="645"/>
      <c r="DP80" s="645"/>
      <c r="DQ80" s="645"/>
      <c r="DR80" s="645"/>
      <c r="DS80" s="645"/>
      <c r="DT80" s="645"/>
      <c r="DU80" s="645"/>
      <c r="DV80" s="645"/>
      <c r="DW80" s="645"/>
      <c r="DX80" s="645"/>
      <c r="DY80" s="645"/>
      <c r="DZ80" s="645"/>
    </row>
    <row r="81" spans="1:130">
      <c r="A81" s="613"/>
      <c r="B81" s="426"/>
      <c r="C81" s="426"/>
      <c r="D81" s="426"/>
      <c r="E81" s="423"/>
      <c r="F81" s="423"/>
      <c r="G81" s="423"/>
      <c r="H81" s="423"/>
      <c r="I81" s="423"/>
      <c r="J81" s="423"/>
      <c r="K81" s="423"/>
      <c r="L81" s="423"/>
      <c r="M81" s="423"/>
      <c r="N81" s="423"/>
      <c r="O81" s="423"/>
      <c r="P81" s="423"/>
      <c r="Q81" s="423"/>
      <c r="R81" s="423"/>
      <c r="S81" s="423"/>
      <c r="T81" s="423"/>
      <c r="U81" s="423"/>
      <c r="V81" s="423"/>
      <c r="W81" s="426"/>
      <c r="X81" s="582">
        <v>39</v>
      </c>
      <c r="Y81" s="473">
        <f>_xll.RtGet($AE$42,$AE$43&amp;$X81&amp;$AE$44,Y$42)</f>
        <v>1.525095842</v>
      </c>
      <c r="Z81" s="474">
        <f>_xll.RtGet($AE$42,$AE$43&amp;$X81&amp;$AE$44,Z$42)</f>
        <v>1.525095842</v>
      </c>
      <c r="AA81" s="572"/>
      <c r="AB81" s="572"/>
      <c r="AC81" s="423"/>
      <c r="AD81" s="423"/>
      <c r="AE81" s="423"/>
      <c r="AF81" s="426"/>
      <c r="AG81" s="426"/>
      <c r="AH81" s="426"/>
      <c r="AI81" s="426"/>
      <c r="AJ81" s="426"/>
      <c r="AK81" s="426"/>
      <c r="AL81" s="422"/>
      <c r="AM81" s="426"/>
      <c r="AN81" s="426"/>
      <c r="AO81" s="426"/>
      <c r="AP81" s="423"/>
      <c r="AQ81" s="423"/>
      <c r="AR81" s="425"/>
      <c r="AS81" s="425"/>
      <c r="AT81" s="423"/>
      <c r="AU81" s="423"/>
      <c r="AV81" s="423"/>
      <c r="AW81" s="423"/>
      <c r="AX81" s="423"/>
      <c r="AY81" s="423"/>
      <c r="AZ81" s="423"/>
      <c r="BA81" s="423"/>
      <c r="BB81" s="423"/>
      <c r="BC81" s="423"/>
      <c r="BD81" s="423"/>
      <c r="BE81" s="423"/>
      <c r="BF81" s="423"/>
      <c r="BG81" s="423"/>
      <c r="BH81" s="426"/>
      <c r="BI81" s="423"/>
      <c r="BJ81" s="423"/>
      <c r="BK81" s="423"/>
      <c r="BL81" s="423"/>
      <c r="BM81" s="426"/>
      <c r="BN81" s="426"/>
      <c r="BO81" s="421"/>
      <c r="BP81" s="644"/>
      <c r="BQ81" s="645"/>
      <c r="BR81" s="645"/>
      <c r="BS81" s="645"/>
      <c r="BT81" s="645"/>
      <c r="BU81" s="645"/>
      <c r="BV81" s="645"/>
      <c r="BW81" s="645"/>
      <c r="BX81" s="645"/>
      <c r="BY81" s="645"/>
      <c r="BZ81" s="645"/>
      <c r="CA81" s="645"/>
      <c r="CB81" s="645"/>
      <c r="CC81" s="645"/>
      <c r="CD81" s="645"/>
      <c r="CE81" s="645"/>
      <c r="CF81" s="645"/>
      <c r="CG81" s="645"/>
      <c r="CH81" s="645"/>
      <c r="CI81" s="645"/>
      <c r="CJ81" s="645"/>
      <c r="CK81" s="645"/>
      <c r="CL81" s="645"/>
      <c r="CM81" s="645"/>
      <c r="CN81" s="645"/>
      <c r="CO81" s="645"/>
      <c r="CP81" s="645"/>
      <c r="CQ81" s="645"/>
      <c r="CR81" s="645"/>
      <c r="CS81" s="645"/>
      <c r="CT81" s="645"/>
      <c r="CU81" s="645"/>
      <c r="CV81" s="645"/>
      <c r="CW81" s="645"/>
      <c r="CX81" s="645"/>
      <c r="CY81" s="645"/>
      <c r="CZ81" s="645"/>
      <c r="DA81" s="645"/>
      <c r="DB81" s="645"/>
      <c r="DC81" s="645"/>
      <c r="DD81" s="645"/>
      <c r="DE81" s="645"/>
      <c r="DF81" s="645"/>
      <c r="DG81" s="645"/>
      <c r="DH81" s="645"/>
      <c r="DI81" s="645"/>
      <c r="DJ81" s="645"/>
      <c r="DK81" s="645"/>
      <c r="DL81" s="645"/>
      <c r="DM81" s="645"/>
      <c r="DN81" s="645"/>
      <c r="DO81" s="645"/>
      <c r="DP81" s="645"/>
      <c r="DQ81" s="645"/>
      <c r="DR81" s="645"/>
      <c r="DS81" s="645"/>
      <c r="DT81" s="645"/>
      <c r="DU81" s="645"/>
      <c r="DV81" s="645"/>
      <c r="DW81" s="645"/>
      <c r="DX81" s="645"/>
      <c r="DY81" s="645"/>
      <c r="DZ81" s="645"/>
    </row>
    <row r="82" spans="1:130">
      <c r="A82" s="613"/>
      <c r="B82" s="426"/>
      <c r="C82" s="426"/>
      <c r="D82" s="426"/>
      <c r="E82" s="423"/>
      <c r="F82" s="423"/>
      <c r="G82" s="423"/>
      <c r="H82" s="423"/>
      <c r="I82" s="423"/>
      <c r="J82" s="423"/>
      <c r="K82" s="423"/>
      <c r="L82" s="423"/>
      <c r="M82" s="423"/>
      <c r="N82" s="423"/>
      <c r="O82" s="423"/>
      <c r="P82" s="423"/>
      <c r="Q82" s="423"/>
      <c r="R82" s="423"/>
      <c r="S82" s="423"/>
      <c r="T82" s="423"/>
      <c r="U82" s="423"/>
      <c r="V82" s="423"/>
      <c r="W82" s="426"/>
      <c r="X82" s="582">
        <v>40</v>
      </c>
      <c r="Y82" s="473">
        <f>_xll.RtGet($AE$42,$AE$43&amp;$X82&amp;$AE$44,Y$42)</f>
        <v>1.522</v>
      </c>
      <c r="Z82" s="474">
        <f>_xll.RtGet($AE$42,$AE$43&amp;$X82&amp;$AE$44,Z$42)</f>
        <v>1.522</v>
      </c>
      <c r="AA82" s="572"/>
      <c r="AB82" s="572"/>
      <c r="AC82" s="423"/>
      <c r="AD82" s="423"/>
      <c r="AE82" s="423"/>
      <c r="AF82" s="426"/>
      <c r="AG82" s="426"/>
      <c r="AH82" s="426"/>
      <c r="AI82" s="426"/>
      <c r="AJ82" s="426"/>
      <c r="AK82" s="426"/>
      <c r="AL82" s="422"/>
      <c r="AM82" s="426"/>
      <c r="AN82" s="426"/>
      <c r="AO82" s="426"/>
      <c r="AP82" s="423"/>
      <c r="AQ82" s="423"/>
      <c r="AR82" s="425"/>
      <c r="AS82" s="425"/>
      <c r="AT82" s="423"/>
      <c r="AU82" s="423"/>
      <c r="AV82" s="423"/>
      <c r="AW82" s="423"/>
      <c r="AX82" s="423"/>
      <c r="AY82" s="423"/>
      <c r="AZ82" s="423"/>
      <c r="BA82" s="423"/>
      <c r="BB82" s="423"/>
      <c r="BC82" s="423"/>
      <c r="BD82" s="423"/>
      <c r="BE82" s="423"/>
      <c r="BF82" s="423"/>
      <c r="BG82" s="423"/>
      <c r="BH82" s="426"/>
      <c r="BI82" s="423"/>
      <c r="BJ82" s="423"/>
      <c r="BK82" s="423"/>
      <c r="BL82" s="423"/>
      <c r="BM82" s="426"/>
      <c r="BN82" s="426"/>
      <c r="BO82" s="421"/>
      <c r="BP82" s="644"/>
      <c r="BQ82" s="645"/>
      <c r="BR82" s="645"/>
      <c r="BS82" s="645"/>
      <c r="BT82" s="645"/>
      <c r="BU82" s="645"/>
      <c r="BV82" s="645"/>
      <c r="BW82" s="645"/>
      <c r="BX82" s="645"/>
      <c r="BY82" s="645"/>
      <c r="BZ82" s="645"/>
      <c r="CA82" s="645"/>
      <c r="CB82" s="645"/>
      <c r="CC82" s="645"/>
      <c r="CD82" s="645"/>
      <c r="CE82" s="645"/>
      <c r="CF82" s="645"/>
      <c r="CG82" s="645"/>
      <c r="CH82" s="645"/>
      <c r="CI82" s="645"/>
      <c r="CJ82" s="645"/>
      <c r="CK82" s="645"/>
      <c r="CL82" s="645"/>
      <c r="CM82" s="645"/>
      <c r="CN82" s="645"/>
      <c r="CO82" s="645"/>
      <c r="CP82" s="645"/>
      <c r="CQ82" s="645"/>
      <c r="CR82" s="645"/>
      <c r="CS82" s="645"/>
      <c r="CT82" s="645"/>
      <c r="CU82" s="645"/>
      <c r="CV82" s="645"/>
      <c r="CW82" s="645"/>
      <c r="CX82" s="645"/>
      <c r="CY82" s="645"/>
      <c r="CZ82" s="645"/>
      <c r="DA82" s="645"/>
      <c r="DB82" s="645"/>
      <c r="DC82" s="645"/>
      <c r="DD82" s="645"/>
      <c r="DE82" s="645"/>
      <c r="DF82" s="645"/>
      <c r="DG82" s="645"/>
      <c r="DH82" s="645"/>
      <c r="DI82" s="645"/>
      <c r="DJ82" s="645"/>
      <c r="DK82" s="645"/>
      <c r="DL82" s="645"/>
      <c r="DM82" s="645"/>
      <c r="DN82" s="645"/>
      <c r="DO82" s="645"/>
      <c r="DP82" s="645"/>
      <c r="DQ82" s="645"/>
      <c r="DR82" s="645"/>
      <c r="DS82" s="645"/>
      <c r="DT82" s="645"/>
      <c r="DU82" s="645"/>
      <c r="DV82" s="645"/>
      <c r="DW82" s="645"/>
      <c r="DX82" s="645"/>
      <c r="DY82" s="645"/>
      <c r="DZ82" s="645"/>
    </row>
    <row r="83" spans="1:130">
      <c r="A83" s="613"/>
      <c r="B83" s="426"/>
      <c r="C83" s="426"/>
      <c r="D83" s="426"/>
      <c r="E83" s="423"/>
      <c r="F83" s="423"/>
      <c r="G83" s="423"/>
      <c r="H83" s="423"/>
      <c r="I83" s="423"/>
      <c r="J83" s="423"/>
      <c r="K83" s="423"/>
      <c r="L83" s="423"/>
      <c r="M83" s="423"/>
      <c r="N83" s="426"/>
      <c r="O83" s="426"/>
      <c r="P83" s="423"/>
      <c r="Q83" s="423"/>
      <c r="R83" s="423"/>
      <c r="S83" s="423"/>
      <c r="T83" s="423"/>
      <c r="U83" s="423"/>
      <c r="V83" s="423"/>
      <c r="W83" s="426"/>
      <c r="X83" s="582">
        <v>50</v>
      </c>
      <c r="Y83" s="473">
        <f>_xll.RtGet($AE$42,$AE$43&amp;$X83&amp;$AE$44,Y$42)</f>
        <v>1.4790000000000001</v>
      </c>
      <c r="Z83" s="474">
        <f>_xll.RtGet($AE$42,$AE$43&amp;$X83&amp;$AE$44,Z$42)</f>
        <v>1.4790000000000001</v>
      </c>
      <c r="AA83" s="572"/>
      <c r="AB83" s="572"/>
      <c r="AC83" s="423"/>
      <c r="AD83" s="423"/>
      <c r="AE83" s="423"/>
      <c r="AF83" s="426"/>
      <c r="AG83" s="426"/>
      <c r="AH83" s="426"/>
      <c r="AI83" s="426"/>
      <c r="AJ83" s="426"/>
      <c r="AK83" s="426"/>
      <c r="AL83" s="422"/>
      <c r="AM83" s="426"/>
      <c r="AN83" s="426"/>
      <c r="AO83" s="426"/>
      <c r="AP83" s="423"/>
      <c r="AQ83" s="423"/>
      <c r="AR83" s="425"/>
      <c r="AS83" s="425"/>
      <c r="AT83" s="423"/>
      <c r="AU83" s="423"/>
      <c r="AV83" s="423"/>
      <c r="AW83" s="423"/>
      <c r="AX83" s="423"/>
      <c r="AY83" s="423"/>
      <c r="AZ83" s="423"/>
      <c r="BA83" s="423"/>
      <c r="BB83" s="423"/>
      <c r="BC83" s="423"/>
      <c r="BD83" s="423"/>
      <c r="BE83" s="423"/>
      <c r="BF83" s="423"/>
      <c r="BG83" s="423"/>
      <c r="BH83" s="426"/>
      <c r="BI83" s="423"/>
      <c r="BJ83" s="423"/>
      <c r="BK83" s="423"/>
      <c r="BL83" s="423"/>
      <c r="BM83" s="426"/>
      <c r="BN83" s="426"/>
      <c r="BO83" s="421"/>
      <c r="BP83" s="644"/>
      <c r="BQ83" s="645"/>
      <c r="BR83" s="645"/>
      <c r="BS83" s="645"/>
      <c r="BT83" s="645"/>
      <c r="BU83" s="645"/>
      <c r="BV83" s="645"/>
      <c r="BW83" s="645"/>
      <c r="BX83" s="645"/>
      <c r="BY83" s="645"/>
      <c r="BZ83" s="645"/>
      <c r="CA83" s="645"/>
      <c r="CB83" s="645"/>
      <c r="CC83" s="645"/>
      <c r="CD83" s="645"/>
      <c r="CE83" s="645"/>
      <c r="CF83" s="645"/>
      <c r="CG83" s="645"/>
      <c r="CH83" s="645"/>
      <c r="CI83" s="645"/>
      <c r="CJ83" s="645"/>
      <c r="CK83" s="645"/>
      <c r="CL83" s="645"/>
      <c r="CM83" s="645"/>
      <c r="CN83" s="645"/>
      <c r="CO83" s="645"/>
      <c r="CP83" s="645"/>
      <c r="CQ83" s="645"/>
      <c r="CR83" s="645"/>
      <c r="CS83" s="645"/>
      <c r="CT83" s="645"/>
      <c r="CU83" s="645"/>
      <c r="CV83" s="645"/>
      <c r="CW83" s="645"/>
      <c r="CX83" s="645"/>
      <c r="CY83" s="645"/>
      <c r="CZ83" s="645"/>
      <c r="DA83" s="645"/>
      <c r="DB83" s="645"/>
      <c r="DC83" s="645"/>
      <c r="DD83" s="645"/>
      <c r="DE83" s="645"/>
      <c r="DF83" s="645"/>
      <c r="DG83" s="645"/>
      <c r="DH83" s="645"/>
      <c r="DI83" s="645"/>
      <c r="DJ83" s="645"/>
      <c r="DK83" s="645"/>
      <c r="DL83" s="645"/>
      <c r="DM83" s="645"/>
      <c r="DN83" s="645"/>
      <c r="DO83" s="645"/>
      <c r="DP83" s="645"/>
      <c r="DQ83" s="645"/>
      <c r="DR83" s="645"/>
      <c r="DS83" s="645"/>
      <c r="DT83" s="645"/>
      <c r="DU83" s="645"/>
      <c r="DV83" s="645"/>
      <c r="DW83" s="645"/>
      <c r="DX83" s="645"/>
      <c r="DY83" s="645"/>
      <c r="DZ83" s="645"/>
    </row>
    <row r="84" spans="1:130">
      <c r="A84" s="613"/>
      <c r="B84" s="426"/>
      <c r="C84" s="426"/>
      <c r="D84" s="426"/>
      <c r="E84" s="423"/>
      <c r="F84" s="423"/>
      <c r="G84" s="423"/>
      <c r="H84" s="423"/>
      <c r="I84" s="423"/>
      <c r="J84" s="423"/>
      <c r="K84" s="423"/>
      <c r="L84" s="423"/>
      <c r="M84" s="423"/>
      <c r="N84" s="426"/>
      <c r="O84" s="426"/>
      <c r="P84" s="423"/>
      <c r="Q84" s="423"/>
      <c r="R84" s="423"/>
      <c r="S84" s="423"/>
      <c r="T84" s="423"/>
      <c r="U84" s="423"/>
      <c r="V84" s="423"/>
      <c r="W84" s="426"/>
      <c r="X84" s="619">
        <v>60</v>
      </c>
      <c r="Y84" s="529">
        <f>_xll.RtGet($AE$42,$AE$43&amp;$X84&amp;$AE$44,Y$42)</f>
        <v>1.45</v>
      </c>
      <c r="Z84" s="530">
        <f>_xll.RtGet($AE$42,$AE$43&amp;$X84&amp;$AE$44,Z$42)</f>
        <v>1.45</v>
      </c>
      <c r="AA84" s="572"/>
      <c r="AB84" s="572"/>
      <c r="AC84" s="423"/>
      <c r="AD84" s="423"/>
      <c r="AE84" s="423"/>
      <c r="AF84" s="426"/>
      <c r="AG84" s="426"/>
      <c r="AH84" s="426"/>
      <c r="AI84" s="426"/>
      <c r="AJ84" s="426"/>
      <c r="AK84" s="426"/>
      <c r="AL84" s="422"/>
      <c r="AM84" s="426"/>
      <c r="AN84" s="426"/>
      <c r="AO84" s="426"/>
      <c r="AP84" s="423"/>
      <c r="AQ84" s="423"/>
      <c r="AR84" s="425"/>
      <c r="AS84" s="425"/>
      <c r="AT84" s="423"/>
      <c r="AU84" s="423"/>
      <c r="AV84" s="423"/>
      <c r="AW84" s="423"/>
      <c r="AX84" s="423"/>
      <c r="AY84" s="423"/>
      <c r="AZ84" s="423"/>
      <c r="BA84" s="423"/>
      <c r="BB84" s="423"/>
      <c r="BC84" s="423"/>
      <c r="BD84" s="423"/>
      <c r="BE84" s="423"/>
      <c r="BF84" s="423"/>
      <c r="BG84" s="423"/>
      <c r="BH84" s="426"/>
      <c r="BI84" s="423"/>
      <c r="BJ84" s="423"/>
      <c r="BK84" s="423"/>
      <c r="BL84" s="423"/>
      <c r="BM84" s="426"/>
      <c r="BN84" s="426"/>
      <c r="BO84" s="421"/>
      <c r="BP84" s="644"/>
      <c r="BQ84" s="645"/>
      <c r="BR84" s="645"/>
      <c r="BS84" s="645"/>
      <c r="BT84" s="645"/>
      <c r="BU84" s="645"/>
      <c r="BV84" s="645"/>
      <c r="BW84" s="645"/>
      <c r="BX84" s="645"/>
      <c r="BY84" s="645"/>
      <c r="BZ84" s="645"/>
      <c r="CA84" s="645"/>
      <c r="CB84" s="645"/>
      <c r="CC84" s="645"/>
      <c r="CD84" s="645"/>
      <c r="CE84" s="645"/>
      <c r="CF84" s="645"/>
      <c r="CG84" s="645"/>
      <c r="CH84" s="645"/>
      <c r="CI84" s="645"/>
      <c r="CJ84" s="645"/>
      <c r="CK84" s="645"/>
      <c r="CL84" s="645"/>
      <c r="CM84" s="645"/>
      <c r="CN84" s="645"/>
      <c r="CO84" s="645"/>
      <c r="CP84" s="645"/>
      <c r="CQ84" s="645"/>
      <c r="CR84" s="645"/>
      <c r="CS84" s="645"/>
      <c r="CT84" s="645"/>
      <c r="CU84" s="645"/>
      <c r="CV84" s="645"/>
      <c r="CW84" s="645"/>
      <c r="CX84" s="645"/>
      <c r="CY84" s="645"/>
      <c r="CZ84" s="645"/>
      <c r="DA84" s="645"/>
      <c r="DB84" s="645"/>
      <c r="DC84" s="645"/>
      <c r="DD84" s="645"/>
      <c r="DE84" s="645"/>
      <c r="DF84" s="645"/>
      <c r="DG84" s="645"/>
      <c r="DH84" s="645"/>
      <c r="DI84" s="645"/>
      <c r="DJ84" s="645"/>
      <c r="DK84" s="645"/>
      <c r="DL84" s="645"/>
      <c r="DM84" s="645"/>
      <c r="DN84" s="645"/>
      <c r="DO84" s="645"/>
      <c r="DP84" s="645"/>
      <c r="DQ84" s="645"/>
      <c r="DR84" s="645"/>
      <c r="DS84" s="645"/>
      <c r="DT84" s="645"/>
      <c r="DU84" s="645"/>
      <c r="DV84" s="645"/>
      <c r="DW84" s="645"/>
      <c r="DX84" s="645"/>
      <c r="DY84" s="645"/>
      <c r="DZ84" s="645"/>
    </row>
    <row r="85" spans="1:130">
      <c r="A85" s="613"/>
      <c r="B85" s="426"/>
      <c r="C85" s="426"/>
      <c r="D85" s="426"/>
      <c r="E85" s="423"/>
      <c r="F85" s="423"/>
      <c r="G85" s="423"/>
      <c r="H85" s="423"/>
      <c r="I85" s="423"/>
      <c r="J85" s="423"/>
      <c r="K85" s="423"/>
      <c r="L85" s="423"/>
      <c r="M85" s="423"/>
      <c r="N85" s="426"/>
      <c r="O85" s="426"/>
      <c r="P85" s="423"/>
      <c r="Q85" s="423"/>
      <c r="R85" s="423"/>
      <c r="S85" s="423"/>
      <c r="T85" s="423"/>
      <c r="U85" s="423"/>
      <c r="V85" s="423"/>
      <c r="W85" s="426"/>
      <c r="X85" s="633"/>
      <c r="Y85" s="633"/>
      <c r="Z85" s="633"/>
      <c r="AA85" s="633"/>
      <c r="AB85" s="633"/>
      <c r="AC85" s="633"/>
      <c r="AD85" s="633"/>
      <c r="AE85" s="633"/>
      <c r="AF85" s="426"/>
      <c r="AG85" s="426"/>
      <c r="AH85" s="426"/>
      <c r="AI85" s="426"/>
      <c r="AJ85" s="426"/>
      <c r="AK85" s="426"/>
      <c r="AL85" s="422"/>
      <c r="AM85" s="426"/>
      <c r="AN85" s="426"/>
      <c r="AO85" s="426"/>
      <c r="AP85" s="423"/>
      <c r="AQ85" s="423"/>
      <c r="AR85" s="425"/>
      <c r="AS85" s="425"/>
      <c r="AT85" s="423"/>
      <c r="AU85" s="423"/>
      <c r="AV85" s="423"/>
      <c r="AW85" s="423"/>
      <c r="AX85" s="423"/>
      <c r="AY85" s="423"/>
      <c r="AZ85" s="423"/>
      <c r="BA85" s="423"/>
      <c r="BB85" s="423"/>
      <c r="BC85" s="423"/>
      <c r="BD85" s="423"/>
      <c r="BE85" s="423"/>
      <c r="BF85" s="423"/>
      <c r="BG85" s="423"/>
      <c r="BH85" s="426"/>
      <c r="BI85" s="423"/>
      <c r="BJ85" s="423"/>
      <c r="BK85" s="423"/>
      <c r="BL85" s="423"/>
      <c r="BM85" s="426"/>
      <c r="BN85" s="426"/>
      <c r="BO85" s="421"/>
      <c r="BP85" s="644"/>
      <c r="BQ85" s="645"/>
      <c r="BR85" s="645"/>
      <c r="BS85" s="645"/>
      <c r="BT85" s="645"/>
      <c r="BU85" s="645"/>
      <c r="BV85" s="645"/>
      <c r="BW85" s="645"/>
      <c r="BX85" s="645"/>
      <c r="BY85" s="645"/>
      <c r="BZ85" s="645"/>
      <c r="CA85" s="645"/>
      <c r="CB85" s="645"/>
      <c r="CC85" s="645"/>
      <c r="CD85" s="645"/>
      <c r="CE85" s="645"/>
      <c r="CF85" s="645"/>
      <c r="CG85" s="645"/>
      <c r="CH85" s="645"/>
      <c r="CI85" s="645"/>
      <c r="CJ85" s="645"/>
      <c r="CK85" s="645"/>
      <c r="CL85" s="645"/>
      <c r="CM85" s="645"/>
      <c r="CN85" s="645"/>
      <c r="CO85" s="645"/>
      <c r="CP85" s="645"/>
      <c r="CQ85" s="645"/>
      <c r="CR85" s="645"/>
      <c r="CS85" s="645"/>
      <c r="CT85" s="645"/>
      <c r="CU85" s="645"/>
      <c r="CV85" s="645"/>
      <c r="CW85" s="645"/>
      <c r="CX85" s="645"/>
      <c r="CY85" s="645"/>
      <c r="CZ85" s="645"/>
      <c r="DA85" s="645"/>
      <c r="DB85" s="645"/>
      <c r="DC85" s="645"/>
      <c r="DD85" s="645"/>
      <c r="DE85" s="645"/>
      <c r="DF85" s="645"/>
      <c r="DG85" s="645"/>
      <c r="DH85" s="645"/>
      <c r="DI85" s="645"/>
      <c r="DJ85" s="645"/>
      <c r="DK85" s="645"/>
      <c r="DL85" s="645"/>
      <c r="DM85" s="645"/>
      <c r="DN85" s="645"/>
      <c r="DO85" s="645"/>
      <c r="DP85" s="645"/>
      <c r="DQ85" s="645"/>
      <c r="DR85" s="645"/>
      <c r="DS85" s="645"/>
      <c r="DT85" s="645"/>
      <c r="DU85" s="645"/>
      <c r="DV85" s="645"/>
      <c r="DW85" s="645"/>
      <c r="DX85" s="645"/>
      <c r="DY85" s="645"/>
      <c r="DZ85" s="645"/>
    </row>
    <row r="86" spans="1:130" ht="12.75" thickBot="1">
      <c r="A86" s="634"/>
      <c r="B86" s="635"/>
      <c r="C86" s="635"/>
      <c r="D86" s="635"/>
      <c r="E86" s="636"/>
      <c r="F86" s="636"/>
      <c r="G86" s="636"/>
      <c r="H86" s="636"/>
      <c r="I86" s="636"/>
      <c r="J86" s="636"/>
      <c r="K86" s="636"/>
      <c r="L86" s="636"/>
      <c r="M86" s="636"/>
      <c r="N86" s="635"/>
      <c r="O86" s="635"/>
      <c r="P86" s="636"/>
      <c r="Q86" s="636"/>
      <c r="R86" s="636"/>
      <c r="S86" s="636"/>
      <c r="T86" s="636"/>
      <c r="U86" s="636"/>
      <c r="V86" s="636"/>
      <c r="W86" s="635"/>
      <c r="X86" s="636"/>
      <c r="Y86" s="636"/>
      <c r="Z86" s="636"/>
      <c r="AA86" s="636"/>
      <c r="AB86" s="636"/>
      <c r="AC86" s="636"/>
      <c r="AD86" s="636"/>
      <c r="AE86" s="636"/>
      <c r="AF86" s="635"/>
      <c r="AG86" s="635"/>
      <c r="AH86" s="635"/>
      <c r="AI86" s="635"/>
      <c r="AJ86" s="635"/>
      <c r="AK86" s="635"/>
      <c r="AL86" s="637"/>
      <c r="AM86" s="636"/>
      <c r="AN86" s="636"/>
      <c r="AO86" s="636"/>
      <c r="AP86" s="636"/>
      <c r="AQ86" s="636"/>
      <c r="AR86" s="638"/>
      <c r="AS86" s="638"/>
      <c r="AT86" s="636"/>
      <c r="AU86" s="636"/>
      <c r="AV86" s="636"/>
      <c r="AW86" s="636"/>
      <c r="AX86" s="636"/>
      <c r="AY86" s="636"/>
      <c r="AZ86" s="636"/>
      <c r="BA86" s="636"/>
      <c r="BB86" s="636"/>
      <c r="BC86" s="636"/>
      <c r="BD86" s="636"/>
      <c r="BE86" s="636"/>
      <c r="BF86" s="636"/>
      <c r="BG86" s="636"/>
      <c r="BH86" s="636"/>
      <c r="BI86" s="636"/>
      <c r="BJ86" s="636"/>
      <c r="BK86" s="636"/>
      <c r="BL86" s="636"/>
      <c r="BM86" s="635"/>
      <c r="BN86" s="635"/>
      <c r="BO86" s="635"/>
      <c r="BP86" s="644"/>
      <c r="BQ86" s="645"/>
      <c r="BR86" s="645"/>
      <c r="BS86" s="645"/>
      <c r="BT86" s="645"/>
      <c r="BU86" s="645"/>
      <c r="BV86" s="645"/>
      <c r="BW86" s="645"/>
      <c r="BX86" s="645"/>
      <c r="BY86" s="645"/>
      <c r="BZ86" s="645"/>
      <c r="CA86" s="645"/>
      <c r="CB86" s="645"/>
      <c r="CC86" s="645"/>
      <c r="CD86" s="645"/>
      <c r="CE86" s="645"/>
      <c r="CF86" s="645"/>
      <c r="CG86" s="645"/>
      <c r="CH86" s="645"/>
      <c r="CI86" s="645"/>
      <c r="CJ86" s="645"/>
      <c r="CK86" s="645"/>
      <c r="CL86" s="645"/>
      <c r="CM86" s="645"/>
      <c r="CN86" s="645"/>
      <c r="CO86" s="645"/>
      <c r="CP86" s="645"/>
      <c r="CQ86" s="645"/>
      <c r="CR86" s="645"/>
      <c r="CS86" s="645"/>
      <c r="CT86" s="645"/>
      <c r="CU86" s="645"/>
      <c r="CV86" s="645"/>
      <c r="CW86" s="645"/>
      <c r="CX86" s="645"/>
      <c r="CY86" s="645"/>
      <c r="CZ86" s="645"/>
      <c r="DA86" s="645"/>
      <c r="DB86" s="645"/>
      <c r="DC86" s="645"/>
      <c r="DD86" s="645"/>
      <c r="DE86" s="645"/>
      <c r="DF86" s="645"/>
      <c r="DG86" s="645"/>
      <c r="DH86" s="645"/>
      <c r="DI86" s="645"/>
      <c r="DJ86" s="645"/>
      <c r="DK86" s="645"/>
      <c r="DL86" s="645"/>
      <c r="DM86" s="645"/>
      <c r="DN86" s="645"/>
      <c r="DO86" s="645"/>
      <c r="DP86" s="645"/>
      <c r="DQ86" s="645"/>
      <c r="DR86" s="645"/>
      <c r="DS86" s="645"/>
      <c r="DT86" s="645"/>
      <c r="DU86" s="645"/>
      <c r="DV86" s="645"/>
      <c r="DW86" s="645"/>
      <c r="DX86" s="645"/>
      <c r="DY86" s="645"/>
      <c r="DZ86" s="645"/>
    </row>
    <row r="87" spans="1:130" ht="12.75" thickTop="1">
      <c r="A87" s="645"/>
      <c r="B87" s="645"/>
      <c r="C87" s="645"/>
      <c r="D87" s="645"/>
      <c r="E87" s="645"/>
      <c r="F87" s="645"/>
      <c r="G87" s="645"/>
      <c r="H87" s="645"/>
      <c r="I87" s="645"/>
      <c r="J87" s="645"/>
      <c r="K87" s="645"/>
      <c r="L87" s="645"/>
      <c r="M87" s="645"/>
      <c r="N87" s="645"/>
      <c r="O87" s="645"/>
      <c r="P87" s="645"/>
      <c r="Q87" s="645"/>
      <c r="R87" s="645"/>
      <c r="S87" s="645"/>
      <c r="T87" s="645"/>
      <c r="U87" s="645"/>
      <c r="V87" s="645"/>
      <c r="W87" s="645"/>
      <c r="X87" s="645"/>
      <c r="Y87" s="645"/>
      <c r="Z87" s="645"/>
      <c r="AA87" s="645"/>
      <c r="AB87" s="645"/>
      <c r="AC87" s="645"/>
      <c r="AD87" s="645"/>
      <c r="AE87" s="645"/>
      <c r="AF87" s="645"/>
      <c r="AG87" s="645"/>
      <c r="AH87" s="645"/>
      <c r="AI87" s="645"/>
      <c r="AJ87" s="645"/>
      <c r="AK87" s="645"/>
      <c r="AL87" s="645"/>
      <c r="AM87" s="645"/>
      <c r="AN87" s="645"/>
      <c r="AO87" s="645"/>
      <c r="AP87" s="645"/>
      <c r="AQ87" s="645"/>
      <c r="AR87" s="645"/>
      <c r="AS87" s="645"/>
      <c r="AT87" s="645"/>
      <c r="AU87" s="645"/>
      <c r="AV87" s="645"/>
      <c r="AW87" s="645"/>
      <c r="AX87" s="645"/>
      <c r="AY87" s="645"/>
      <c r="AZ87" s="645"/>
      <c r="BA87" s="645"/>
      <c r="BB87" s="645"/>
      <c r="BC87" s="645"/>
      <c r="BD87" s="645"/>
      <c r="BE87" s="645"/>
      <c r="BF87" s="645"/>
      <c r="BG87" s="645"/>
      <c r="BH87" s="645"/>
      <c r="BI87" s="645"/>
      <c r="BJ87" s="645"/>
      <c r="BK87" s="645"/>
      <c r="BL87" s="645"/>
      <c r="BM87" s="645"/>
      <c r="BN87" s="645"/>
      <c r="BO87" s="645"/>
      <c r="BP87" s="645"/>
      <c r="BQ87" s="645"/>
      <c r="BR87" s="645"/>
      <c r="BS87" s="645"/>
      <c r="BT87" s="645"/>
      <c r="BU87" s="645"/>
      <c r="BV87" s="645"/>
      <c r="BW87" s="645"/>
      <c r="BX87" s="645"/>
      <c r="BY87" s="645"/>
      <c r="BZ87" s="645"/>
      <c r="CA87" s="645"/>
      <c r="CB87" s="645"/>
      <c r="CC87" s="645"/>
      <c r="CD87" s="645"/>
      <c r="CE87" s="645"/>
      <c r="CF87" s="645"/>
      <c r="CG87" s="645"/>
      <c r="CH87" s="645"/>
      <c r="CI87" s="645"/>
      <c r="CJ87" s="645"/>
      <c r="CK87" s="645"/>
      <c r="CL87" s="645"/>
      <c r="CM87" s="645"/>
      <c r="CN87" s="645"/>
      <c r="CO87" s="645"/>
      <c r="CP87" s="645"/>
      <c r="CQ87" s="645"/>
      <c r="CR87" s="645"/>
      <c r="CS87" s="645"/>
      <c r="CT87" s="645"/>
      <c r="CU87" s="645"/>
      <c r="CV87" s="645"/>
      <c r="CW87" s="645"/>
      <c r="CX87" s="645"/>
      <c r="CY87" s="645"/>
      <c r="CZ87" s="645"/>
      <c r="DA87" s="645"/>
      <c r="DB87" s="645"/>
      <c r="DC87" s="645"/>
      <c r="DD87" s="645"/>
      <c r="DE87" s="645"/>
      <c r="DF87" s="645"/>
      <c r="DG87" s="645"/>
      <c r="DH87" s="645"/>
      <c r="DI87" s="645"/>
      <c r="DJ87" s="645"/>
      <c r="DK87" s="645"/>
      <c r="DL87" s="645"/>
      <c r="DM87" s="645"/>
      <c r="DN87" s="645"/>
      <c r="DO87" s="645"/>
      <c r="DP87" s="645"/>
      <c r="DQ87" s="645"/>
      <c r="DR87" s="645"/>
      <c r="DS87" s="645"/>
      <c r="DT87" s="645"/>
      <c r="DU87" s="645"/>
      <c r="DV87" s="645"/>
      <c r="DW87" s="645"/>
      <c r="DX87" s="645"/>
      <c r="DY87" s="645"/>
      <c r="DZ87" s="645"/>
    </row>
    <row r="88" spans="1:130">
      <c r="A88" s="645"/>
      <c r="B88" s="645"/>
      <c r="C88" s="645"/>
      <c r="D88" s="645"/>
      <c r="E88" s="645"/>
      <c r="F88" s="645"/>
      <c r="G88" s="645"/>
      <c r="H88" s="645"/>
      <c r="I88" s="645"/>
      <c r="J88" s="645"/>
      <c r="K88" s="645"/>
      <c r="L88" s="645"/>
      <c r="M88" s="645"/>
      <c r="N88" s="645"/>
      <c r="O88" s="645"/>
      <c r="P88" s="645"/>
      <c r="Q88" s="645"/>
      <c r="R88" s="645"/>
      <c r="S88" s="645"/>
      <c r="T88" s="645"/>
      <c r="U88" s="645"/>
      <c r="V88" s="645"/>
      <c r="W88" s="645"/>
      <c r="X88" s="645"/>
      <c r="Y88" s="645"/>
      <c r="Z88" s="645"/>
      <c r="AA88" s="645"/>
      <c r="AB88" s="645"/>
      <c r="AC88" s="645"/>
      <c r="AD88" s="645"/>
      <c r="AE88" s="645"/>
      <c r="AF88" s="645"/>
      <c r="AG88" s="645"/>
      <c r="AH88" s="645"/>
      <c r="AI88" s="645"/>
      <c r="AJ88" s="645"/>
      <c r="AK88" s="645"/>
      <c r="AL88" s="645"/>
      <c r="AM88" s="645"/>
      <c r="AN88" s="645"/>
      <c r="AO88" s="645"/>
      <c r="AP88" s="645"/>
      <c r="AQ88" s="645"/>
      <c r="AR88" s="645"/>
      <c r="AS88" s="645"/>
      <c r="AT88" s="645"/>
      <c r="AU88" s="645"/>
      <c r="AV88" s="645"/>
      <c r="AW88" s="645"/>
      <c r="AX88" s="645"/>
      <c r="AY88" s="645"/>
      <c r="AZ88" s="645"/>
      <c r="BA88" s="645"/>
      <c r="BB88" s="645"/>
      <c r="BC88" s="645"/>
      <c r="BD88" s="645"/>
      <c r="BE88" s="645"/>
      <c r="BF88" s="645"/>
      <c r="BG88" s="645"/>
      <c r="BH88" s="645"/>
      <c r="BI88" s="645"/>
      <c r="BJ88" s="645"/>
      <c r="BK88" s="645"/>
      <c r="BL88" s="645"/>
      <c r="BM88" s="645"/>
      <c r="BN88" s="645"/>
      <c r="BO88" s="645"/>
      <c r="BP88" s="645"/>
      <c r="BQ88" s="645"/>
      <c r="BR88" s="645"/>
      <c r="BS88" s="645"/>
      <c r="BT88" s="645"/>
      <c r="BU88" s="645"/>
      <c r="BV88" s="645"/>
      <c r="BW88" s="645"/>
      <c r="BX88" s="645"/>
      <c r="BY88" s="645"/>
      <c r="BZ88" s="645"/>
      <c r="CA88" s="645"/>
      <c r="CB88" s="645"/>
      <c r="CC88" s="645"/>
      <c r="CD88" s="645"/>
      <c r="CE88" s="645"/>
      <c r="CF88" s="645"/>
      <c r="CG88" s="645"/>
      <c r="CH88" s="645"/>
      <c r="CI88" s="645"/>
      <c r="CJ88" s="645"/>
      <c r="CK88" s="645"/>
      <c r="CL88" s="645"/>
      <c r="CM88" s="645"/>
      <c r="CN88" s="645"/>
      <c r="CO88" s="645"/>
      <c r="CP88" s="645"/>
      <c r="CQ88" s="645"/>
      <c r="CR88" s="645"/>
      <c r="CS88" s="645"/>
      <c r="CT88" s="645"/>
      <c r="CU88" s="645"/>
      <c r="CV88" s="645"/>
      <c r="CW88" s="645"/>
      <c r="CX88" s="645"/>
      <c r="CY88" s="645"/>
      <c r="CZ88" s="645"/>
      <c r="DA88" s="645"/>
      <c r="DB88" s="645"/>
      <c r="DC88" s="645"/>
      <c r="DD88" s="645"/>
      <c r="DE88" s="645"/>
      <c r="DF88" s="645"/>
      <c r="DG88" s="645"/>
      <c r="DH88" s="645"/>
      <c r="DI88" s="645"/>
      <c r="DJ88" s="645"/>
      <c r="DK88" s="645"/>
      <c r="DL88" s="645"/>
      <c r="DM88" s="645"/>
      <c r="DN88" s="645"/>
      <c r="DO88" s="645"/>
      <c r="DP88" s="645"/>
      <c r="DQ88" s="645"/>
      <c r="DR88" s="645"/>
      <c r="DS88" s="645"/>
      <c r="DT88" s="645"/>
      <c r="DU88" s="645"/>
      <c r="DV88" s="645"/>
      <c r="DW88" s="645"/>
      <c r="DX88" s="645"/>
      <c r="DY88" s="645"/>
      <c r="DZ88" s="645"/>
    </row>
    <row r="89" spans="1:130">
      <c r="A89" s="645"/>
      <c r="B89" s="645"/>
      <c r="C89" s="645"/>
      <c r="D89" s="645"/>
      <c r="E89" s="645"/>
      <c r="F89" s="645"/>
      <c r="G89" s="645"/>
      <c r="H89" s="645"/>
      <c r="I89" s="645"/>
      <c r="J89" s="645"/>
      <c r="K89" s="645"/>
      <c r="L89" s="645"/>
      <c r="M89" s="645"/>
      <c r="N89" s="645"/>
      <c r="O89" s="645"/>
      <c r="P89" s="645"/>
      <c r="Q89" s="645"/>
      <c r="R89" s="645"/>
      <c r="S89" s="645"/>
      <c r="T89" s="645"/>
      <c r="U89" s="645"/>
      <c r="V89" s="645"/>
      <c r="W89" s="645"/>
      <c r="X89" s="645"/>
      <c r="Y89" s="645"/>
      <c r="Z89" s="645"/>
      <c r="AA89" s="645"/>
      <c r="AB89" s="645"/>
      <c r="AC89" s="645"/>
      <c r="AD89" s="645"/>
      <c r="AE89" s="645"/>
      <c r="AF89" s="645"/>
      <c r="AG89" s="645"/>
      <c r="AH89" s="645"/>
      <c r="AI89" s="645"/>
      <c r="AJ89" s="645"/>
      <c r="AK89" s="645"/>
      <c r="AL89" s="645"/>
      <c r="AM89" s="645"/>
      <c r="AN89" s="645"/>
      <c r="AO89" s="645"/>
      <c r="AP89" s="645"/>
      <c r="AQ89" s="645"/>
      <c r="AR89" s="645"/>
      <c r="AS89" s="645"/>
      <c r="AT89" s="645"/>
      <c r="AU89" s="645"/>
      <c r="AV89" s="645"/>
      <c r="AW89" s="645"/>
      <c r="AX89" s="645"/>
      <c r="AY89" s="645"/>
      <c r="AZ89" s="645"/>
      <c r="BA89" s="645"/>
      <c r="BB89" s="645"/>
      <c r="BC89" s="645"/>
      <c r="BD89" s="645"/>
      <c r="BE89" s="645"/>
      <c r="BF89" s="645"/>
      <c r="BG89" s="645"/>
      <c r="BH89" s="645"/>
      <c r="BI89" s="645"/>
      <c r="BJ89" s="645"/>
      <c r="BK89" s="645"/>
      <c r="BL89" s="645"/>
      <c r="BM89" s="645"/>
      <c r="BN89" s="645"/>
      <c r="BO89" s="645"/>
      <c r="BP89" s="645"/>
      <c r="BQ89" s="645"/>
      <c r="BR89" s="645"/>
      <c r="BS89" s="645"/>
      <c r="BT89" s="645"/>
      <c r="BU89" s="645"/>
      <c r="BV89" s="645"/>
      <c r="BW89" s="645"/>
      <c r="BX89" s="645"/>
      <c r="BY89" s="645"/>
      <c r="BZ89" s="645"/>
      <c r="CA89" s="645"/>
      <c r="CB89" s="645"/>
      <c r="CC89" s="645"/>
      <c r="CD89" s="645"/>
      <c r="CE89" s="645"/>
      <c r="CF89" s="645"/>
      <c r="CG89" s="645"/>
      <c r="CH89" s="645"/>
      <c r="CI89" s="645"/>
      <c r="CJ89" s="645"/>
      <c r="CK89" s="645"/>
      <c r="CL89" s="645"/>
      <c r="CM89" s="645"/>
      <c r="CN89" s="645"/>
      <c r="CO89" s="645"/>
      <c r="CP89" s="645"/>
      <c r="CQ89" s="645"/>
      <c r="CR89" s="645"/>
      <c r="CS89" s="645"/>
      <c r="CT89" s="645"/>
      <c r="CU89" s="645"/>
      <c r="CV89" s="645"/>
      <c r="CW89" s="645"/>
      <c r="CX89" s="645"/>
      <c r="CY89" s="645"/>
      <c r="CZ89" s="645"/>
      <c r="DA89" s="645"/>
      <c r="DB89" s="645"/>
      <c r="DC89" s="645"/>
      <c r="DD89" s="645"/>
      <c r="DE89" s="645"/>
      <c r="DF89" s="645"/>
      <c r="DG89" s="645"/>
      <c r="DH89" s="645"/>
      <c r="DI89" s="645"/>
      <c r="DJ89" s="645"/>
      <c r="DK89" s="645"/>
      <c r="DL89" s="645"/>
      <c r="DM89" s="645"/>
      <c r="DN89" s="645"/>
      <c r="DO89" s="645"/>
      <c r="DP89" s="645"/>
      <c r="DQ89" s="645"/>
      <c r="DR89" s="645"/>
      <c r="DS89" s="645"/>
      <c r="DT89" s="645"/>
      <c r="DU89" s="645"/>
      <c r="DV89" s="645"/>
      <c r="DW89" s="645"/>
      <c r="DX89" s="645"/>
      <c r="DY89" s="645"/>
      <c r="DZ89" s="645"/>
    </row>
    <row r="90" spans="1:130">
      <c r="A90" s="645"/>
      <c r="B90" s="645"/>
      <c r="C90" s="645"/>
      <c r="D90" s="645"/>
      <c r="E90" s="645"/>
      <c r="F90" s="645"/>
      <c r="G90" s="645"/>
      <c r="H90" s="645"/>
      <c r="I90" s="645"/>
      <c r="J90" s="645"/>
      <c r="K90" s="645"/>
      <c r="L90" s="645"/>
      <c r="M90" s="645"/>
      <c r="N90" s="645"/>
      <c r="O90" s="645"/>
      <c r="P90" s="645"/>
      <c r="Q90" s="645"/>
      <c r="R90" s="645"/>
      <c r="S90" s="645"/>
      <c r="T90" s="645"/>
      <c r="U90" s="645"/>
      <c r="V90" s="645"/>
      <c r="W90" s="645"/>
      <c r="X90" s="645"/>
      <c r="Y90" s="645"/>
      <c r="Z90" s="645"/>
      <c r="AA90" s="645"/>
      <c r="AB90" s="645"/>
      <c r="AC90" s="645"/>
      <c r="AD90" s="645"/>
      <c r="AE90" s="645"/>
      <c r="AF90" s="645"/>
      <c r="AG90" s="645"/>
      <c r="AH90" s="645"/>
      <c r="AI90" s="645"/>
      <c r="AJ90" s="645"/>
      <c r="AK90" s="645"/>
      <c r="AL90" s="645"/>
      <c r="AM90" s="645"/>
      <c r="AN90" s="645"/>
      <c r="AO90" s="645"/>
      <c r="AP90" s="645"/>
      <c r="AQ90" s="645"/>
      <c r="AR90" s="645"/>
      <c r="AS90" s="645"/>
      <c r="AT90" s="645"/>
      <c r="AU90" s="645"/>
      <c r="AV90" s="645"/>
      <c r="AW90" s="645"/>
      <c r="AX90" s="645"/>
      <c r="AY90" s="645"/>
      <c r="AZ90" s="645"/>
      <c r="BA90" s="645"/>
      <c r="BB90" s="645"/>
      <c r="BC90" s="645"/>
      <c r="BD90" s="645"/>
      <c r="BE90" s="645"/>
      <c r="BF90" s="645"/>
      <c r="BG90" s="645"/>
      <c r="BH90" s="645"/>
      <c r="BI90" s="645"/>
      <c r="BJ90" s="645"/>
      <c r="BK90" s="645"/>
      <c r="BL90" s="645"/>
      <c r="BM90" s="645"/>
      <c r="BN90" s="645"/>
      <c r="BO90" s="645"/>
      <c r="BP90" s="645"/>
      <c r="BQ90" s="645"/>
      <c r="BR90" s="645"/>
      <c r="BS90" s="645"/>
      <c r="BT90" s="645"/>
      <c r="BU90" s="645"/>
      <c r="BV90" s="645"/>
      <c r="BW90" s="645"/>
      <c r="BX90" s="645"/>
      <c r="BY90" s="645"/>
      <c r="BZ90" s="645"/>
      <c r="CA90" s="645"/>
      <c r="CB90" s="645"/>
      <c r="CC90" s="645"/>
      <c r="CD90" s="645"/>
      <c r="CE90" s="645"/>
      <c r="CF90" s="645"/>
      <c r="CG90" s="645"/>
      <c r="CH90" s="645"/>
      <c r="CI90" s="645"/>
      <c r="CJ90" s="645"/>
      <c r="CK90" s="645"/>
      <c r="CL90" s="645"/>
      <c r="CM90" s="645"/>
      <c r="CN90" s="645"/>
      <c r="CO90" s="645"/>
      <c r="CP90" s="645"/>
      <c r="CQ90" s="645"/>
      <c r="CR90" s="645"/>
      <c r="CS90" s="645"/>
      <c r="CT90" s="645"/>
      <c r="CU90" s="645"/>
      <c r="CV90" s="645"/>
      <c r="CW90" s="645"/>
      <c r="CX90" s="645"/>
      <c r="CY90" s="645"/>
      <c r="CZ90" s="645"/>
      <c r="DA90" s="645"/>
      <c r="DB90" s="645"/>
      <c r="DC90" s="645"/>
      <c r="DD90" s="645"/>
      <c r="DE90" s="645"/>
      <c r="DF90" s="645"/>
      <c r="DG90" s="645"/>
      <c r="DH90" s="645"/>
      <c r="DI90" s="645"/>
      <c r="DJ90" s="645"/>
      <c r="DK90" s="645"/>
      <c r="DL90" s="645"/>
      <c r="DM90" s="645"/>
      <c r="DN90" s="645"/>
      <c r="DO90" s="645"/>
      <c r="DP90" s="645"/>
      <c r="DQ90" s="645"/>
      <c r="DR90" s="645"/>
      <c r="DS90" s="645"/>
      <c r="DT90" s="645"/>
      <c r="DU90" s="645"/>
      <c r="DV90" s="645"/>
      <c r="DW90" s="645"/>
      <c r="DX90" s="645"/>
      <c r="DY90" s="645"/>
      <c r="DZ90" s="645"/>
    </row>
    <row r="91" spans="1:130">
      <c r="A91" s="645"/>
      <c r="B91" s="645"/>
      <c r="C91" s="645"/>
      <c r="D91" s="645"/>
      <c r="E91" s="645"/>
      <c r="F91" s="645"/>
      <c r="G91" s="645"/>
      <c r="H91" s="645"/>
      <c r="I91" s="645"/>
      <c r="J91" s="645"/>
      <c r="K91" s="645"/>
      <c r="L91" s="645"/>
      <c r="M91" s="645"/>
      <c r="N91" s="645"/>
      <c r="O91" s="645"/>
      <c r="P91" s="645"/>
      <c r="Q91" s="645"/>
      <c r="R91" s="645"/>
      <c r="S91" s="645"/>
      <c r="T91" s="645"/>
      <c r="U91" s="645"/>
      <c r="V91" s="645"/>
      <c r="W91" s="645"/>
      <c r="X91" s="645"/>
      <c r="Y91" s="645"/>
      <c r="Z91" s="645"/>
      <c r="AA91" s="645"/>
      <c r="AB91" s="645"/>
      <c r="AC91" s="645"/>
      <c r="AD91" s="645"/>
      <c r="AE91" s="645"/>
      <c r="AF91" s="645"/>
      <c r="AG91" s="645"/>
      <c r="AH91" s="645"/>
      <c r="AI91" s="645"/>
      <c r="AJ91" s="645"/>
      <c r="AK91" s="645"/>
      <c r="AL91" s="645"/>
      <c r="AM91" s="645"/>
      <c r="AN91" s="645"/>
      <c r="AO91" s="645"/>
      <c r="AP91" s="645"/>
      <c r="AQ91" s="645"/>
      <c r="AR91" s="645"/>
      <c r="AS91" s="645"/>
      <c r="AT91" s="645"/>
      <c r="AU91" s="645"/>
      <c r="AV91" s="645"/>
      <c r="AW91" s="645"/>
      <c r="AX91" s="645"/>
      <c r="AY91" s="645"/>
      <c r="AZ91" s="645"/>
      <c r="BA91" s="645"/>
      <c r="BB91" s="645"/>
      <c r="BC91" s="645"/>
      <c r="BD91" s="645"/>
      <c r="BE91" s="645"/>
      <c r="BF91" s="645"/>
      <c r="BG91" s="645"/>
      <c r="BH91" s="645"/>
      <c r="BI91" s="645"/>
      <c r="BJ91" s="645"/>
      <c r="BK91" s="645"/>
      <c r="BL91" s="645"/>
      <c r="BM91" s="645"/>
      <c r="BN91" s="645"/>
      <c r="BO91" s="645"/>
      <c r="BP91" s="645"/>
      <c r="BQ91" s="645"/>
      <c r="BR91" s="645"/>
      <c r="BS91" s="645"/>
      <c r="BT91" s="645"/>
      <c r="BU91" s="645"/>
      <c r="BV91" s="645"/>
      <c r="BW91" s="645"/>
      <c r="BX91" s="645"/>
      <c r="BY91" s="645"/>
      <c r="BZ91" s="645"/>
      <c r="CA91" s="645"/>
      <c r="CB91" s="645"/>
      <c r="CC91" s="645"/>
      <c r="CD91" s="645"/>
      <c r="CE91" s="645"/>
      <c r="CF91" s="645"/>
      <c r="CG91" s="645"/>
      <c r="CH91" s="645"/>
      <c r="CI91" s="645"/>
      <c r="CJ91" s="645"/>
      <c r="CK91" s="645"/>
      <c r="CL91" s="645"/>
      <c r="CM91" s="645"/>
      <c r="CN91" s="645"/>
      <c r="CO91" s="645"/>
      <c r="CP91" s="645"/>
      <c r="CQ91" s="645"/>
      <c r="CR91" s="645"/>
      <c r="CS91" s="645"/>
      <c r="CT91" s="645"/>
      <c r="CU91" s="645"/>
      <c r="CV91" s="645"/>
      <c r="CW91" s="645"/>
      <c r="CX91" s="645"/>
      <c r="CY91" s="645"/>
      <c r="CZ91" s="645"/>
      <c r="DA91" s="645"/>
      <c r="DB91" s="645"/>
      <c r="DC91" s="645"/>
      <c r="DD91" s="645"/>
      <c r="DE91" s="645"/>
      <c r="DF91" s="645"/>
      <c r="DG91" s="645"/>
      <c r="DH91" s="645"/>
      <c r="DI91" s="645"/>
      <c r="DJ91" s="645"/>
      <c r="DK91" s="645"/>
      <c r="DL91" s="645"/>
      <c r="DM91" s="645"/>
      <c r="DN91" s="645"/>
      <c r="DO91" s="645"/>
      <c r="DP91" s="645"/>
      <c r="DQ91" s="645"/>
      <c r="DR91" s="645"/>
      <c r="DS91" s="645"/>
      <c r="DT91" s="645"/>
      <c r="DU91" s="645"/>
      <c r="DV91" s="645"/>
      <c r="DW91" s="645"/>
      <c r="DX91" s="645"/>
      <c r="DY91" s="645"/>
      <c r="DZ91" s="645"/>
    </row>
    <row r="92" spans="1:130">
      <c r="A92" s="645"/>
      <c r="B92" s="645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645"/>
      <c r="AB92" s="645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5"/>
      <c r="AO92" s="645"/>
      <c r="AP92" s="645"/>
      <c r="AQ92" s="645"/>
      <c r="AR92" s="645"/>
      <c r="AS92" s="645"/>
      <c r="AT92" s="645"/>
      <c r="AU92" s="645"/>
      <c r="AV92" s="645"/>
      <c r="AW92" s="645"/>
      <c r="AX92" s="645"/>
      <c r="AY92" s="645"/>
      <c r="AZ92" s="645"/>
      <c r="BA92" s="645"/>
      <c r="BB92" s="645"/>
      <c r="BC92" s="645"/>
      <c r="BD92" s="645"/>
      <c r="BE92" s="645"/>
      <c r="BF92" s="645"/>
      <c r="BG92" s="645"/>
      <c r="BH92" s="645"/>
      <c r="BI92" s="645"/>
      <c r="BJ92" s="645"/>
      <c r="BK92" s="645"/>
      <c r="BL92" s="645"/>
      <c r="BM92" s="645"/>
      <c r="BN92" s="645"/>
      <c r="BO92" s="645"/>
      <c r="BP92" s="645"/>
      <c r="BQ92" s="645"/>
      <c r="BR92" s="645"/>
      <c r="BS92" s="645"/>
      <c r="BT92" s="645"/>
      <c r="BU92" s="645"/>
      <c r="BV92" s="645"/>
      <c r="BW92" s="645"/>
      <c r="BX92" s="645"/>
      <c r="BY92" s="645"/>
      <c r="BZ92" s="645"/>
      <c r="CA92" s="645"/>
      <c r="CB92" s="645"/>
      <c r="CC92" s="645"/>
      <c r="CD92" s="645"/>
      <c r="CE92" s="645"/>
      <c r="CF92" s="645"/>
      <c r="CG92" s="645"/>
      <c r="CH92" s="645"/>
      <c r="CI92" s="645"/>
      <c r="CJ92" s="645"/>
      <c r="CK92" s="645"/>
      <c r="CL92" s="645"/>
      <c r="CM92" s="645"/>
      <c r="CN92" s="645"/>
      <c r="CO92" s="645"/>
      <c r="CP92" s="645"/>
      <c r="CQ92" s="645"/>
      <c r="CR92" s="645"/>
      <c r="CS92" s="645"/>
      <c r="CT92" s="645"/>
      <c r="CU92" s="645"/>
      <c r="CV92" s="645"/>
      <c r="CW92" s="645"/>
      <c r="CX92" s="645"/>
      <c r="CY92" s="645"/>
      <c r="CZ92" s="645"/>
      <c r="DA92" s="645"/>
      <c r="DB92" s="645"/>
      <c r="DC92" s="645"/>
      <c r="DD92" s="645"/>
      <c r="DE92" s="645"/>
      <c r="DF92" s="645"/>
      <c r="DG92" s="645"/>
      <c r="DH92" s="645"/>
      <c r="DI92" s="645"/>
      <c r="DJ92" s="645"/>
      <c r="DK92" s="645"/>
      <c r="DL92" s="645"/>
      <c r="DM92" s="645"/>
      <c r="DN92" s="645"/>
      <c r="DO92" s="645"/>
      <c r="DP92" s="645"/>
      <c r="DQ92" s="645"/>
      <c r="DR92" s="645"/>
      <c r="DS92" s="645"/>
      <c r="DT92" s="645"/>
      <c r="DU92" s="645"/>
      <c r="DV92" s="645"/>
      <c r="DW92" s="645"/>
      <c r="DX92" s="645"/>
      <c r="DY92" s="645"/>
      <c r="DZ92" s="645"/>
    </row>
    <row r="93" spans="1:130">
      <c r="A93" s="645"/>
      <c r="B93" s="645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645"/>
      <c r="AB93" s="645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5"/>
      <c r="AO93" s="645"/>
      <c r="AP93" s="645"/>
      <c r="AQ93" s="645"/>
      <c r="AR93" s="645"/>
      <c r="AS93" s="645"/>
      <c r="AT93" s="645"/>
      <c r="AU93" s="645"/>
      <c r="AV93" s="645"/>
      <c r="AW93" s="645"/>
      <c r="AX93" s="645"/>
      <c r="AY93" s="645"/>
      <c r="AZ93" s="645"/>
      <c r="BA93" s="645"/>
      <c r="BB93" s="645"/>
      <c r="BC93" s="645"/>
      <c r="BD93" s="645"/>
      <c r="BE93" s="645"/>
      <c r="BF93" s="645"/>
      <c r="BG93" s="645"/>
      <c r="BH93" s="645"/>
      <c r="BI93" s="645"/>
      <c r="BJ93" s="645"/>
      <c r="BK93" s="645"/>
      <c r="BL93" s="645"/>
      <c r="BM93" s="645"/>
      <c r="BN93" s="645"/>
      <c r="BO93" s="645"/>
      <c r="BP93" s="645"/>
      <c r="BQ93" s="645"/>
      <c r="BR93" s="645"/>
      <c r="BS93" s="645"/>
      <c r="BT93" s="645"/>
      <c r="BU93" s="645"/>
      <c r="BV93" s="645"/>
      <c r="BW93" s="645"/>
      <c r="BX93" s="645"/>
      <c r="BY93" s="645"/>
      <c r="BZ93" s="645"/>
      <c r="CA93" s="645"/>
      <c r="CB93" s="645"/>
      <c r="CC93" s="645"/>
      <c r="CD93" s="645"/>
      <c r="CE93" s="645"/>
      <c r="CF93" s="645"/>
      <c r="CG93" s="645"/>
      <c r="CH93" s="645"/>
      <c r="CI93" s="645"/>
      <c r="CJ93" s="645"/>
      <c r="CK93" s="645"/>
      <c r="CL93" s="645"/>
      <c r="CM93" s="645"/>
      <c r="CN93" s="645"/>
      <c r="CO93" s="645"/>
      <c r="CP93" s="645"/>
      <c r="CQ93" s="645"/>
      <c r="CR93" s="645"/>
      <c r="CS93" s="645"/>
      <c r="CT93" s="645"/>
      <c r="CU93" s="645"/>
      <c r="CV93" s="645"/>
      <c r="CW93" s="645"/>
      <c r="CX93" s="645"/>
      <c r="CY93" s="645"/>
      <c r="CZ93" s="645"/>
      <c r="DA93" s="645"/>
      <c r="DB93" s="645"/>
      <c r="DC93" s="645"/>
      <c r="DD93" s="645"/>
      <c r="DE93" s="645"/>
      <c r="DF93" s="645"/>
      <c r="DG93" s="645"/>
      <c r="DH93" s="645"/>
      <c r="DI93" s="645"/>
      <c r="DJ93" s="645"/>
      <c r="DK93" s="645"/>
      <c r="DL93" s="645"/>
      <c r="DM93" s="645"/>
      <c r="DN93" s="645"/>
      <c r="DO93" s="645"/>
      <c r="DP93" s="645"/>
      <c r="DQ93" s="645"/>
      <c r="DR93" s="645"/>
      <c r="DS93" s="645"/>
      <c r="DT93" s="645"/>
      <c r="DU93" s="645"/>
      <c r="DV93" s="645"/>
      <c r="DW93" s="645"/>
      <c r="DX93" s="645"/>
      <c r="DY93" s="645"/>
      <c r="DZ93" s="645"/>
    </row>
    <row r="94" spans="1:130">
      <c r="A94" s="645"/>
      <c r="B94" s="645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645"/>
      <c r="AB94" s="645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5"/>
      <c r="AO94" s="645"/>
      <c r="AP94" s="645"/>
      <c r="AQ94" s="645"/>
      <c r="AR94" s="645"/>
      <c r="AS94" s="645"/>
      <c r="AT94" s="645"/>
      <c r="AU94" s="645"/>
      <c r="AV94" s="645"/>
      <c r="AW94" s="645"/>
      <c r="AX94" s="645"/>
      <c r="AY94" s="645"/>
      <c r="AZ94" s="645"/>
      <c r="BA94" s="645"/>
      <c r="BB94" s="645"/>
      <c r="BC94" s="645"/>
      <c r="BD94" s="645"/>
      <c r="BE94" s="645"/>
      <c r="BF94" s="645"/>
      <c r="BG94" s="645"/>
      <c r="BH94" s="645"/>
      <c r="BI94" s="645"/>
      <c r="BJ94" s="645"/>
      <c r="BK94" s="645"/>
      <c r="BL94" s="645"/>
      <c r="BM94" s="645"/>
      <c r="BN94" s="645"/>
      <c r="BO94" s="645"/>
      <c r="BP94" s="645"/>
      <c r="BQ94" s="645"/>
      <c r="BR94" s="645"/>
      <c r="BS94" s="645"/>
      <c r="BT94" s="645"/>
      <c r="BU94" s="645"/>
      <c r="BV94" s="645"/>
      <c r="BW94" s="645"/>
      <c r="BX94" s="645"/>
      <c r="BY94" s="645"/>
      <c r="BZ94" s="645"/>
      <c r="CA94" s="645"/>
      <c r="CB94" s="645"/>
      <c r="CC94" s="645"/>
      <c r="CD94" s="645"/>
      <c r="CE94" s="645"/>
      <c r="CF94" s="645"/>
      <c r="CG94" s="645"/>
      <c r="CH94" s="645"/>
      <c r="CI94" s="645"/>
      <c r="CJ94" s="645"/>
      <c r="CK94" s="645"/>
      <c r="CL94" s="645"/>
      <c r="CM94" s="645"/>
      <c r="CN94" s="645"/>
      <c r="CO94" s="645"/>
      <c r="CP94" s="645"/>
      <c r="CQ94" s="645"/>
      <c r="CR94" s="645"/>
      <c r="CS94" s="645"/>
      <c r="CT94" s="645"/>
      <c r="CU94" s="645"/>
      <c r="CV94" s="645"/>
      <c r="CW94" s="645"/>
      <c r="CX94" s="645"/>
      <c r="CY94" s="645"/>
      <c r="CZ94" s="645"/>
      <c r="DA94" s="645"/>
      <c r="DB94" s="645"/>
      <c r="DC94" s="645"/>
      <c r="DD94" s="645"/>
      <c r="DE94" s="645"/>
      <c r="DF94" s="645"/>
      <c r="DG94" s="645"/>
      <c r="DH94" s="645"/>
      <c r="DI94" s="645"/>
      <c r="DJ94" s="645"/>
      <c r="DK94" s="645"/>
      <c r="DL94" s="645"/>
      <c r="DM94" s="645"/>
      <c r="DN94" s="645"/>
      <c r="DO94" s="645"/>
      <c r="DP94" s="645"/>
      <c r="DQ94" s="645"/>
      <c r="DR94" s="645"/>
      <c r="DS94" s="645"/>
      <c r="DT94" s="645"/>
      <c r="DU94" s="645"/>
      <c r="DV94" s="645"/>
      <c r="DW94" s="645"/>
      <c r="DX94" s="645"/>
      <c r="DY94" s="645"/>
      <c r="DZ94" s="645"/>
    </row>
    <row r="95" spans="1:130">
      <c r="A95" s="645"/>
      <c r="B95" s="645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645"/>
      <c r="AB95" s="645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5"/>
      <c r="AO95" s="645"/>
      <c r="AP95" s="645"/>
      <c r="AQ95" s="645"/>
      <c r="AR95" s="645"/>
      <c r="AS95" s="645"/>
      <c r="AT95" s="645"/>
      <c r="AU95" s="645"/>
      <c r="AV95" s="645"/>
      <c r="AW95" s="645"/>
      <c r="AX95" s="645"/>
      <c r="AY95" s="645"/>
      <c r="AZ95" s="645"/>
      <c r="BA95" s="645"/>
      <c r="BB95" s="645"/>
      <c r="BC95" s="645"/>
      <c r="BD95" s="645"/>
      <c r="BE95" s="645"/>
      <c r="BF95" s="645"/>
      <c r="BG95" s="645"/>
      <c r="BH95" s="645"/>
      <c r="BI95" s="645"/>
      <c r="BJ95" s="645"/>
      <c r="BK95" s="645"/>
      <c r="BL95" s="645"/>
      <c r="BM95" s="645"/>
      <c r="BN95" s="645"/>
      <c r="BO95" s="645"/>
      <c r="BP95" s="645"/>
      <c r="BQ95" s="645"/>
      <c r="BR95" s="645"/>
      <c r="BS95" s="645"/>
      <c r="BT95" s="645"/>
      <c r="BU95" s="645"/>
      <c r="BV95" s="645"/>
      <c r="BW95" s="645"/>
      <c r="BX95" s="645"/>
      <c r="BY95" s="645"/>
      <c r="BZ95" s="645"/>
      <c r="CA95" s="645"/>
      <c r="CB95" s="645"/>
      <c r="CC95" s="645"/>
      <c r="CD95" s="645"/>
      <c r="CE95" s="645"/>
      <c r="CF95" s="645"/>
      <c r="CG95" s="645"/>
      <c r="CH95" s="645"/>
      <c r="CI95" s="645"/>
      <c r="CJ95" s="645"/>
      <c r="CK95" s="645"/>
      <c r="CL95" s="645"/>
      <c r="CM95" s="645"/>
      <c r="CN95" s="645"/>
      <c r="CO95" s="645"/>
      <c r="CP95" s="645"/>
      <c r="CQ95" s="645"/>
      <c r="CR95" s="645"/>
      <c r="CS95" s="645"/>
      <c r="CT95" s="645"/>
      <c r="CU95" s="645"/>
      <c r="CV95" s="645"/>
      <c r="CW95" s="645"/>
      <c r="CX95" s="645"/>
      <c r="CY95" s="645"/>
      <c r="CZ95" s="645"/>
      <c r="DA95" s="645"/>
      <c r="DB95" s="645"/>
      <c r="DC95" s="645"/>
      <c r="DD95" s="645"/>
      <c r="DE95" s="645"/>
      <c r="DF95" s="645"/>
      <c r="DG95" s="645"/>
      <c r="DH95" s="645"/>
      <c r="DI95" s="645"/>
      <c r="DJ95" s="645"/>
      <c r="DK95" s="645"/>
      <c r="DL95" s="645"/>
      <c r="DM95" s="645"/>
      <c r="DN95" s="645"/>
      <c r="DO95" s="645"/>
      <c r="DP95" s="645"/>
      <c r="DQ95" s="645"/>
      <c r="DR95" s="645"/>
      <c r="DS95" s="645"/>
      <c r="DT95" s="645"/>
      <c r="DU95" s="645"/>
      <c r="DV95" s="645"/>
      <c r="DW95" s="645"/>
      <c r="DX95" s="645"/>
      <c r="DY95" s="645"/>
      <c r="DZ95" s="645"/>
    </row>
    <row r="96" spans="1:130">
      <c r="A96" s="645"/>
      <c r="B96" s="645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645"/>
      <c r="AB96" s="645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5"/>
      <c r="AO96" s="645"/>
      <c r="AP96" s="645"/>
      <c r="AQ96" s="645"/>
      <c r="AR96" s="645"/>
      <c r="AS96" s="645"/>
      <c r="AT96" s="645"/>
      <c r="AU96" s="645"/>
      <c r="AV96" s="645"/>
      <c r="AW96" s="645"/>
      <c r="AX96" s="645"/>
      <c r="AY96" s="645"/>
      <c r="AZ96" s="645"/>
      <c r="BA96" s="645"/>
      <c r="BB96" s="645"/>
      <c r="BC96" s="645"/>
      <c r="BD96" s="645"/>
      <c r="BE96" s="645"/>
      <c r="BF96" s="645"/>
      <c r="BG96" s="645"/>
      <c r="BH96" s="645"/>
      <c r="BI96" s="645"/>
      <c r="BJ96" s="645"/>
      <c r="BK96" s="645"/>
      <c r="BL96" s="645"/>
      <c r="BM96" s="645"/>
      <c r="BN96" s="645"/>
      <c r="BO96" s="645"/>
      <c r="BP96" s="645"/>
      <c r="BQ96" s="645"/>
      <c r="BR96" s="645"/>
      <c r="BS96" s="645"/>
      <c r="BT96" s="645"/>
      <c r="BU96" s="645"/>
      <c r="BV96" s="645"/>
      <c r="BW96" s="645"/>
      <c r="BX96" s="645"/>
      <c r="BY96" s="645"/>
      <c r="BZ96" s="645"/>
      <c r="CA96" s="645"/>
      <c r="CB96" s="645"/>
      <c r="CC96" s="645"/>
      <c r="CD96" s="645"/>
      <c r="CE96" s="645"/>
      <c r="CF96" s="645"/>
      <c r="CG96" s="645"/>
      <c r="CH96" s="645"/>
      <c r="CI96" s="645"/>
      <c r="CJ96" s="645"/>
      <c r="CK96" s="645"/>
      <c r="CL96" s="645"/>
      <c r="CM96" s="645"/>
      <c r="CN96" s="645"/>
      <c r="CO96" s="645"/>
      <c r="CP96" s="645"/>
      <c r="CQ96" s="645"/>
      <c r="CR96" s="645"/>
      <c r="CS96" s="645"/>
      <c r="CT96" s="645"/>
      <c r="CU96" s="645"/>
      <c r="CV96" s="645"/>
      <c r="CW96" s="645"/>
      <c r="CX96" s="645"/>
      <c r="CY96" s="645"/>
      <c r="CZ96" s="645"/>
      <c r="DA96" s="645"/>
      <c r="DB96" s="645"/>
      <c r="DC96" s="645"/>
      <c r="DD96" s="645"/>
      <c r="DE96" s="645"/>
      <c r="DF96" s="645"/>
      <c r="DG96" s="645"/>
      <c r="DH96" s="645"/>
      <c r="DI96" s="645"/>
      <c r="DJ96" s="645"/>
      <c r="DK96" s="645"/>
      <c r="DL96" s="645"/>
      <c r="DM96" s="645"/>
      <c r="DN96" s="645"/>
      <c r="DO96" s="645"/>
      <c r="DP96" s="645"/>
      <c r="DQ96" s="645"/>
      <c r="DR96" s="645"/>
      <c r="DS96" s="645"/>
      <c r="DT96" s="645"/>
      <c r="DU96" s="645"/>
      <c r="DV96" s="645"/>
      <c r="DW96" s="645"/>
      <c r="DX96" s="645"/>
      <c r="DY96" s="645"/>
      <c r="DZ96" s="645"/>
    </row>
    <row r="97" spans="1:130">
      <c r="A97" s="645"/>
      <c r="B97" s="645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645"/>
      <c r="AB97" s="645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5"/>
      <c r="AO97" s="645"/>
      <c r="AP97" s="645"/>
      <c r="AQ97" s="645"/>
      <c r="AR97" s="645"/>
      <c r="AS97" s="645"/>
      <c r="AT97" s="645"/>
      <c r="AU97" s="645"/>
      <c r="AV97" s="645"/>
      <c r="AW97" s="645"/>
      <c r="AX97" s="645"/>
      <c r="AY97" s="645"/>
      <c r="AZ97" s="645"/>
      <c r="BA97" s="645"/>
      <c r="BB97" s="645"/>
      <c r="BC97" s="645"/>
      <c r="BD97" s="645"/>
      <c r="BE97" s="645"/>
      <c r="BF97" s="645"/>
      <c r="BG97" s="645"/>
      <c r="BH97" s="645"/>
      <c r="BI97" s="645"/>
      <c r="BJ97" s="645"/>
      <c r="BK97" s="645"/>
      <c r="BL97" s="645"/>
      <c r="BM97" s="645"/>
      <c r="BN97" s="645"/>
      <c r="BO97" s="645"/>
      <c r="BP97" s="645"/>
      <c r="BQ97" s="645"/>
      <c r="BR97" s="645"/>
      <c r="BS97" s="645"/>
      <c r="BT97" s="645"/>
      <c r="BU97" s="645"/>
      <c r="BV97" s="645"/>
      <c r="BW97" s="645"/>
      <c r="BX97" s="645"/>
      <c r="BY97" s="645"/>
      <c r="BZ97" s="645"/>
      <c r="CA97" s="645"/>
      <c r="CB97" s="645"/>
      <c r="CC97" s="645"/>
      <c r="CD97" s="645"/>
      <c r="CE97" s="645"/>
      <c r="CF97" s="645"/>
      <c r="CG97" s="645"/>
      <c r="CH97" s="645"/>
      <c r="CI97" s="645"/>
      <c r="CJ97" s="645"/>
      <c r="CK97" s="645"/>
      <c r="CL97" s="645"/>
      <c r="CM97" s="645"/>
      <c r="CN97" s="645"/>
      <c r="CO97" s="645"/>
      <c r="CP97" s="645"/>
      <c r="CQ97" s="645"/>
      <c r="CR97" s="645"/>
      <c r="CS97" s="645"/>
      <c r="CT97" s="645"/>
      <c r="CU97" s="645"/>
      <c r="CV97" s="645"/>
      <c r="CW97" s="645"/>
      <c r="CX97" s="645"/>
      <c r="CY97" s="645"/>
      <c r="CZ97" s="645"/>
      <c r="DA97" s="645"/>
      <c r="DB97" s="645"/>
      <c r="DC97" s="645"/>
      <c r="DD97" s="645"/>
      <c r="DE97" s="645"/>
      <c r="DF97" s="645"/>
      <c r="DG97" s="645"/>
      <c r="DH97" s="645"/>
      <c r="DI97" s="645"/>
      <c r="DJ97" s="645"/>
      <c r="DK97" s="645"/>
      <c r="DL97" s="645"/>
      <c r="DM97" s="645"/>
      <c r="DN97" s="645"/>
      <c r="DO97" s="645"/>
      <c r="DP97" s="645"/>
      <c r="DQ97" s="645"/>
      <c r="DR97" s="645"/>
      <c r="DS97" s="645"/>
      <c r="DT97" s="645"/>
      <c r="DU97" s="645"/>
      <c r="DV97" s="645"/>
      <c r="DW97" s="645"/>
      <c r="DX97" s="645"/>
      <c r="DY97" s="645"/>
      <c r="DZ97" s="645"/>
    </row>
    <row r="98" spans="1:130">
      <c r="A98" s="645"/>
      <c r="B98" s="645"/>
      <c r="C98" s="645"/>
      <c r="D98" s="645"/>
      <c r="E98" s="645"/>
      <c r="F98" s="645"/>
      <c r="G98" s="645"/>
      <c r="H98" s="645"/>
      <c r="I98" s="645"/>
      <c r="J98" s="645"/>
      <c r="K98" s="645"/>
      <c r="L98" s="645"/>
      <c r="M98" s="645"/>
      <c r="N98" s="645"/>
      <c r="O98" s="645"/>
      <c r="P98" s="645"/>
      <c r="Q98" s="645"/>
      <c r="R98" s="645"/>
      <c r="S98" s="645"/>
      <c r="T98" s="645"/>
      <c r="U98" s="645"/>
      <c r="V98" s="645"/>
      <c r="W98" s="645"/>
      <c r="X98" s="645"/>
      <c r="Y98" s="645"/>
      <c r="Z98" s="645"/>
      <c r="AA98" s="645"/>
      <c r="AB98" s="645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5"/>
      <c r="AO98" s="645"/>
      <c r="AP98" s="645"/>
      <c r="AQ98" s="645"/>
      <c r="AR98" s="645"/>
      <c r="AS98" s="645"/>
      <c r="AT98" s="645"/>
      <c r="AU98" s="645"/>
      <c r="AV98" s="645"/>
      <c r="AW98" s="645"/>
      <c r="AX98" s="645"/>
      <c r="AY98" s="645"/>
      <c r="AZ98" s="645"/>
      <c r="BA98" s="645"/>
      <c r="BB98" s="645"/>
      <c r="BC98" s="645"/>
      <c r="BD98" s="645"/>
      <c r="BE98" s="645"/>
      <c r="BF98" s="645"/>
      <c r="BG98" s="645"/>
      <c r="BH98" s="645"/>
      <c r="BI98" s="645"/>
      <c r="BJ98" s="645"/>
      <c r="BK98" s="645"/>
      <c r="BL98" s="645"/>
      <c r="BM98" s="645"/>
      <c r="BN98" s="645"/>
      <c r="BO98" s="645"/>
      <c r="BP98" s="645"/>
      <c r="BQ98" s="645"/>
      <c r="BR98" s="645"/>
      <c r="BS98" s="645"/>
      <c r="BT98" s="645"/>
      <c r="BU98" s="645"/>
      <c r="BV98" s="645"/>
      <c r="BW98" s="645"/>
      <c r="BX98" s="645"/>
      <c r="BY98" s="645"/>
      <c r="BZ98" s="645"/>
      <c r="CA98" s="645"/>
      <c r="CB98" s="645"/>
      <c r="CC98" s="645"/>
      <c r="CD98" s="645"/>
      <c r="CE98" s="645"/>
      <c r="CF98" s="645"/>
      <c r="CG98" s="645"/>
      <c r="CH98" s="645"/>
      <c r="CI98" s="645"/>
      <c r="CJ98" s="645"/>
      <c r="CK98" s="645"/>
      <c r="CL98" s="645"/>
      <c r="CM98" s="645"/>
      <c r="CN98" s="645"/>
      <c r="CO98" s="645"/>
      <c r="CP98" s="645"/>
      <c r="CQ98" s="645"/>
      <c r="CR98" s="645"/>
      <c r="CS98" s="645"/>
      <c r="CT98" s="645"/>
      <c r="CU98" s="645"/>
      <c r="CV98" s="645"/>
      <c r="CW98" s="645"/>
      <c r="CX98" s="645"/>
      <c r="CY98" s="645"/>
      <c r="CZ98" s="645"/>
      <c r="DA98" s="645"/>
      <c r="DB98" s="645"/>
      <c r="DC98" s="645"/>
      <c r="DD98" s="645"/>
      <c r="DE98" s="645"/>
      <c r="DF98" s="645"/>
      <c r="DG98" s="645"/>
      <c r="DH98" s="645"/>
      <c r="DI98" s="645"/>
      <c r="DJ98" s="645"/>
      <c r="DK98" s="645"/>
      <c r="DL98" s="645"/>
      <c r="DM98" s="645"/>
      <c r="DN98" s="645"/>
      <c r="DO98" s="645"/>
      <c r="DP98" s="645"/>
      <c r="DQ98" s="645"/>
      <c r="DR98" s="645"/>
      <c r="DS98" s="645"/>
      <c r="DT98" s="645"/>
      <c r="DU98" s="645"/>
      <c r="DV98" s="645"/>
      <c r="DW98" s="645"/>
      <c r="DX98" s="645"/>
      <c r="DY98" s="645"/>
      <c r="DZ98" s="645"/>
    </row>
    <row r="99" spans="1:130">
      <c r="A99" s="645"/>
      <c r="B99" s="645"/>
      <c r="C99" s="645"/>
      <c r="D99" s="645"/>
      <c r="E99" s="645"/>
      <c r="F99" s="645"/>
      <c r="G99" s="645"/>
      <c r="H99" s="645"/>
      <c r="I99" s="645"/>
      <c r="J99" s="645"/>
      <c r="K99" s="645"/>
      <c r="L99" s="645"/>
      <c r="M99" s="645"/>
      <c r="N99" s="645"/>
      <c r="O99" s="645"/>
      <c r="P99" s="645"/>
      <c r="Q99" s="645"/>
      <c r="R99" s="645"/>
      <c r="S99" s="645"/>
      <c r="T99" s="645"/>
      <c r="U99" s="645"/>
      <c r="V99" s="645"/>
      <c r="W99" s="645"/>
      <c r="X99" s="645"/>
      <c r="Y99" s="645"/>
      <c r="Z99" s="645"/>
      <c r="AA99" s="645"/>
      <c r="AB99" s="645"/>
      <c r="AC99" s="645"/>
      <c r="AD99" s="645"/>
      <c r="AE99" s="645"/>
      <c r="AF99" s="645"/>
      <c r="AG99" s="645"/>
      <c r="AH99" s="645"/>
      <c r="AI99" s="645"/>
      <c r="AJ99" s="645"/>
      <c r="AK99" s="645"/>
      <c r="AL99" s="645"/>
      <c r="AM99" s="645"/>
      <c r="AN99" s="645"/>
      <c r="AO99" s="645"/>
      <c r="AP99" s="645"/>
      <c r="AQ99" s="645"/>
      <c r="AR99" s="645"/>
      <c r="AS99" s="645"/>
      <c r="AT99" s="645"/>
      <c r="AU99" s="645"/>
      <c r="AV99" s="645"/>
      <c r="AW99" s="645"/>
      <c r="AX99" s="645"/>
      <c r="AY99" s="645"/>
      <c r="AZ99" s="645"/>
      <c r="BA99" s="645"/>
      <c r="BB99" s="645"/>
      <c r="BC99" s="645"/>
      <c r="BD99" s="645"/>
      <c r="BE99" s="645"/>
      <c r="BF99" s="645"/>
      <c r="BG99" s="645"/>
      <c r="BH99" s="645"/>
      <c r="BI99" s="645"/>
      <c r="BJ99" s="645"/>
      <c r="BK99" s="645"/>
      <c r="BL99" s="645"/>
      <c r="BM99" s="645"/>
      <c r="BN99" s="645"/>
      <c r="BO99" s="645"/>
      <c r="BP99" s="645"/>
      <c r="BQ99" s="645"/>
      <c r="BR99" s="645"/>
      <c r="BS99" s="645"/>
      <c r="BT99" s="645"/>
      <c r="BU99" s="645"/>
      <c r="BV99" s="645"/>
      <c r="BW99" s="645"/>
      <c r="BX99" s="645"/>
      <c r="BY99" s="645"/>
      <c r="BZ99" s="645"/>
      <c r="CA99" s="645"/>
      <c r="CB99" s="645"/>
      <c r="CC99" s="645"/>
      <c r="CD99" s="645"/>
      <c r="CE99" s="645"/>
      <c r="CF99" s="645"/>
      <c r="CG99" s="645"/>
      <c r="CH99" s="645"/>
      <c r="CI99" s="645"/>
      <c r="CJ99" s="645"/>
      <c r="CK99" s="645"/>
      <c r="CL99" s="645"/>
      <c r="CM99" s="645"/>
      <c r="CN99" s="645"/>
      <c r="CO99" s="645"/>
      <c r="CP99" s="645"/>
      <c r="CQ99" s="645"/>
      <c r="CR99" s="645"/>
      <c r="CS99" s="645"/>
      <c r="CT99" s="645"/>
      <c r="CU99" s="645"/>
      <c r="CV99" s="645"/>
      <c r="CW99" s="645"/>
      <c r="CX99" s="645"/>
      <c r="CY99" s="645"/>
      <c r="CZ99" s="645"/>
      <c r="DA99" s="645"/>
      <c r="DB99" s="645"/>
      <c r="DC99" s="645"/>
      <c r="DD99" s="645"/>
      <c r="DE99" s="645"/>
      <c r="DF99" s="645"/>
      <c r="DG99" s="645"/>
      <c r="DH99" s="645"/>
      <c r="DI99" s="645"/>
      <c r="DJ99" s="645"/>
      <c r="DK99" s="645"/>
      <c r="DL99" s="645"/>
      <c r="DM99" s="645"/>
      <c r="DN99" s="645"/>
      <c r="DO99" s="645"/>
      <c r="DP99" s="645"/>
      <c r="DQ99" s="645"/>
      <c r="DR99" s="645"/>
      <c r="DS99" s="645"/>
      <c r="DT99" s="645"/>
      <c r="DU99" s="645"/>
      <c r="DV99" s="645"/>
      <c r="DW99" s="645"/>
      <c r="DX99" s="645"/>
      <c r="DY99" s="645"/>
      <c r="DZ99" s="645"/>
    </row>
    <row r="100" spans="1:130">
      <c r="A100" s="645"/>
      <c r="B100" s="645"/>
      <c r="C100" s="645"/>
      <c r="D100" s="645"/>
      <c r="E100" s="645"/>
      <c r="F100" s="645"/>
      <c r="G100" s="645"/>
      <c r="H100" s="645"/>
      <c r="I100" s="645"/>
      <c r="J100" s="645"/>
      <c r="K100" s="645"/>
      <c r="L100" s="645"/>
      <c r="M100" s="645"/>
      <c r="N100" s="645"/>
      <c r="O100" s="645"/>
      <c r="P100" s="645"/>
      <c r="Q100" s="645"/>
      <c r="R100" s="645"/>
      <c r="S100" s="645"/>
      <c r="T100" s="645"/>
      <c r="U100" s="645"/>
      <c r="V100" s="645"/>
      <c r="W100" s="645"/>
      <c r="X100" s="645"/>
      <c r="Y100" s="645"/>
      <c r="Z100" s="645"/>
      <c r="AA100" s="645"/>
      <c r="AB100" s="645"/>
      <c r="AC100" s="645"/>
      <c r="AD100" s="645"/>
      <c r="AE100" s="645"/>
      <c r="AF100" s="645"/>
      <c r="AG100" s="645"/>
      <c r="AH100" s="645"/>
      <c r="AI100" s="645"/>
      <c r="AJ100" s="645"/>
      <c r="AK100" s="645"/>
      <c r="AL100" s="645"/>
      <c r="AM100" s="645"/>
      <c r="AN100" s="645"/>
      <c r="AO100" s="645"/>
      <c r="AP100" s="645"/>
      <c r="AQ100" s="645"/>
      <c r="AR100" s="645"/>
      <c r="AS100" s="645"/>
      <c r="AT100" s="645"/>
      <c r="AU100" s="645"/>
      <c r="AV100" s="645"/>
      <c r="AW100" s="645"/>
      <c r="AX100" s="645"/>
      <c r="AY100" s="645"/>
      <c r="AZ100" s="645"/>
      <c r="BA100" s="645"/>
      <c r="BB100" s="645"/>
      <c r="BC100" s="645"/>
      <c r="BD100" s="645"/>
      <c r="BE100" s="645"/>
      <c r="BF100" s="645"/>
      <c r="BG100" s="645"/>
      <c r="BH100" s="645"/>
      <c r="BI100" s="645"/>
      <c r="BJ100" s="645"/>
      <c r="BK100" s="645"/>
      <c r="BL100" s="645"/>
      <c r="BM100" s="645"/>
      <c r="BN100" s="645"/>
      <c r="BO100" s="645"/>
      <c r="BP100" s="645"/>
      <c r="BQ100" s="645"/>
      <c r="BR100" s="645"/>
      <c r="BS100" s="645"/>
      <c r="BT100" s="645"/>
      <c r="BU100" s="645"/>
      <c r="BV100" s="645"/>
      <c r="BW100" s="645"/>
      <c r="BX100" s="645"/>
      <c r="BY100" s="645"/>
      <c r="BZ100" s="645"/>
      <c r="CA100" s="645"/>
      <c r="CB100" s="645"/>
      <c r="CC100" s="645"/>
      <c r="CD100" s="645"/>
      <c r="CE100" s="645"/>
      <c r="CF100" s="645"/>
      <c r="CG100" s="645"/>
      <c r="CH100" s="645"/>
      <c r="CI100" s="645"/>
      <c r="CJ100" s="645"/>
      <c r="CK100" s="645"/>
      <c r="CL100" s="645"/>
      <c r="CM100" s="645"/>
      <c r="CN100" s="645"/>
      <c r="CO100" s="645"/>
      <c r="CP100" s="645"/>
      <c r="CQ100" s="645"/>
      <c r="CR100" s="645"/>
      <c r="CS100" s="645"/>
      <c r="CT100" s="645"/>
      <c r="CU100" s="645"/>
      <c r="CV100" s="645"/>
      <c r="CW100" s="645"/>
      <c r="CX100" s="645"/>
      <c r="CY100" s="645"/>
      <c r="CZ100" s="645"/>
      <c r="DA100" s="645"/>
      <c r="DB100" s="645"/>
      <c r="DC100" s="645"/>
      <c r="DD100" s="645"/>
      <c r="DE100" s="645"/>
      <c r="DF100" s="645"/>
      <c r="DG100" s="645"/>
      <c r="DH100" s="645"/>
      <c r="DI100" s="645"/>
      <c r="DJ100" s="645"/>
      <c r="DK100" s="645"/>
      <c r="DL100" s="645"/>
      <c r="DM100" s="645"/>
      <c r="DN100" s="645"/>
      <c r="DO100" s="645"/>
      <c r="DP100" s="645"/>
      <c r="DQ100" s="645"/>
      <c r="DR100" s="645"/>
      <c r="DS100" s="645"/>
      <c r="DT100" s="645"/>
      <c r="DU100" s="645"/>
      <c r="DV100" s="645"/>
      <c r="DW100" s="645"/>
      <c r="DX100" s="645"/>
      <c r="DY100" s="645"/>
      <c r="DZ100" s="645"/>
    </row>
    <row r="101" spans="1:130">
      <c r="A101" s="645"/>
      <c r="B101" s="645"/>
      <c r="C101" s="645"/>
      <c r="D101" s="645"/>
      <c r="E101" s="645"/>
      <c r="F101" s="645"/>
      <c r="G101" s="645"/>
      <c r="H101" s="645"/>
      <c r="I101" s="645"/>
      <c r="J101" s="645"/>
      <c r="K101" s="645"/>
      <c r="L101" s="645"/>
      <c r="M101" s="645"/>
      <c r="N101" s="645"/>
      <c r="O101" s="645"/>
      <c r="P101" s="645"/>
      <c r="Q101" s="645"/>
      <c r="R101" s="645"/>
      <c r="S101" s="645"/>
      <c r="T101" s="645"/>
      <c r="U101" s="645"/>
      <c r="V101" s="645"/>
      <c r="W101" s="645"/>
      <c r="X101" s="645"/>
      <c r="Y101" s="645"/>
      <c r="Z101" s="645"/>
      <c r="AA101" s="645"/>
      <c r="AB101" s="645"/>
      <c r="AC101" s="645"/>
      <c r="AD101" s="645"/>
      <c r="AE101" s="645"/>
      <c r="AF101" s="645"/>
      <c r="AG101" s="645"/>
      <c r="AH101" s="645"/>
      <c r="AI101" s="645"/>
      <c r="AJ101" s="645"/>
      <c r="AK101" s="645"/>
      <c r="AL101" s="645"/>
      <c r="AM101" s="645"/>
      <c r="AN101" s="645"/>
      <c r="AO101" s="645"/>
      <c r="AP101" s="645"/>
      <c r="AQ101" s="645"/>
      <c r="AR101" s="645"/>
      <c r="AS101" s="645"/>
      <c r="AT101" s="645"/>
      <c r="AU101" s="645"/>
      <c r="AV101" s="645"/>
      <c r="AW101" s="645"/>
      <c r="AX101" s="645"/>
      <c r="AY101" s="645"/>
      <c r="AZ101" s="645"/>
      <c r="BA101" s="645"/>
      <c r="BB101" s="645"/>
      <c r="BC101" s="645"/>
      <c r="BD101" s="645"/>
      <c r="BE101" s="645"/>
      <c r="BF101" s="645"/>
      <c r="BG101" s="645"/>
      <c r="BH101" s="645"/>
      <c r="BI101" s="645"/>
      <c r="BJ101" s="645"/>
      <c r="BK101" s="645"/>
      <c r="BL101" s="645"/>
      <c r="BM101" s="645"/>
      <c r="BN101" s="645"/>
      <c r="BO101" s="645"/>
      <c r="BP101" s="645"/>
      <c r="BQ101" s="645"/>
      <c r="BR101" s="645"/>
      <c r="BS101" s="645"/>
      <c r="BT101" s="645"/>
      <c r="BU101" s="645"/>
      <c r="BV101" s="645"/>
      <c r="BW101" s="645"/>
      <c r="BX101" s="645"/>
      <c r="BY101" s="645"/>
      <c r="BZ101" s="645"/>
      <c r="CA101" s="645"/>
      <c r="CB101" s="645"/>
      <c r="CC101" s="645"/>
      <c r="CD101" s="645"/>
      <c r="CE101" s="645"/>
      <c r="CF101" s="645"/>
      <c r="CG101" s="645"/>
      <c r="CH101" s="645"/>
      <c r="CI101" s="645"/>
      <c r="CJ101" s="645"/>
      <c r="CK101" s="645"/>
      <c r="CL101" s="645"/>
      <c r="CM101" s="645"/>
      <c r="CN101" s="645"/>
      <c r="CO101" s="645"/>
      <c r="CP101" s="645"/>
      <c r="CQ101" s="645"/>
      <c r="CR101" s="645"/>
      <c r="CS101" s="645"/>
      <c r="CT101" s="645"/>
      <c r="CU101" s="645"/>
      <c r="CV101" s="645"/>
      <c r="CW101" s="645"/>
      <c r="CX101" s="645"/>
      <c r="CY101" s="645"/>
      <c r="CZ101" s="645"/>
      <c r="DA101" s="645"/>
      <c r="DB101" s="645"/>
      <c r="DC101" s="645"/>
      <c r="DD101" s="645"/>
      <c r="DE101" s="645"/>
      <c r="DF101" s="645"/>
      <c r="DG101" s="645"/>
      <c r="DH101" s="645"/>
      <c r="DI101" s="645"/>
      <c r="DJ101" s="645"/>
      <c r="DK101" s="645"/>
      <c r="DL101" s="645"/>
      <c r="DM101" s="645"/>
      <c r="DN101" s="645"/>
      <c r="DO101" s="645"/>
      <c r="DP101" s="645"/>
      <c r="DQ101" s="645"/>
      <c r="DR101" s="645"/>
      <c r="DS101" s="645"/>
      <c r="DT101" s="645"/>
      <c r="DU101" s="645"/>
      <c r="DV101" s="645"/>
      <c r="DW101" s="645"/>
      <c r="DX101" s="645"/>
      <c r="DY101" s="645"/>
      <c r="DZ101" s="645"/>
    </row>
    <row r="102" spans="1:130">
      <c r="A102" s="645"/>
      <c r="B102" s="645"/>
      <c r="C102" s="645"/>
      <c r="D102" s="645"/>
      <c r="E102" s="645"/>
      <c r="F102" s="645"/>
      <c r="G102" s="645"/>
      <c r="H102" s="645"/>
      <c r="I102" s="645"/>
      <c r="J102" s="645"/>
      <c r="K102" s="645"/>
      <c r="L102" s="645"/>
      <c r="M102" s="645"/>
      <c r="N102" s="645"/>
      <c r="O102" s="645"/>
      <c r="P102" s="645"/>
      <c r="Q102" s="645"/>
      <c r="R102" s="645"/>
      <c r="S102" s="645"/>
      <c r="T102" s="645"/>
      <c r="U102" s="645"/>
      <c r="V102" s="645"/>
      <c r="W102" s="645"/>
      <c r="X102" s="645"/>
      <c r="Y102" s="645"/>
      <c r="Z102" s="645"/>
      <c r="AA102" s="645"/>
      <c r="AB102" s="645"/>
      <c r="AC102" s="645"/>
      <c r="AD102" s="645"/>
      <c r="AE102" s="645"/>
      <c r="AF102" s="645"/>
      <c r="AG102" s="645"/>
      <c r="AH102" s="645"/>
      <c r="AI102" s="645"/>
      <c r="AJ102" s="645"/>
      <c r="AK102" s="645"/>
      <c r="AL102" s="645"/>
      <c r="AM102" s="645"/>
      <c r="AN102" s="645"/>
      <c r="AO102" s="645"/>
      <c r="AP102" s="645"/>
      <c r="AQ102" s="645"/>
      <c r="AR102" s="645"/>
      <c r="AS102" s="645"/>
      <c r="AT102" s="645"/>
      <c r="AU102" s="645"/>
      <c r="AV102" s="645"/>
      <c r="AW102" s="645"/>
      <c r="AX102" s="645"/>
      <c r="AY102" s="645"/>
      <c r="AZ102" s="645"/>
      <c r="BA102" s="645"/>
      <c r="BB102" s="645"/>
      <c r="BC102" s="645"/>
      <c r="BD102" s="645"/>
      <c r="BE102" s="645"/>
      <c r="BF102" s="645"/>
      <c r="BG102" s="645"/>
      <c r="BH102" s="645"/>
      <c r="BI102" s="645"/>
      <c r="BJ102" s="645"/>
      <c r="BK102" s="645"/>
      <c r="BL102" s="645"/>
      <c r="BM102" s="645"/>
      <c r="BN102" s="645"/>
      <c r="BO102" s="645"/>
      <c r="BP102" s="645"/>
      <c r="BQ102" s="645"/>
      <c r="BR102" s="645"/>
      <c r="BS102" s="645"/>
      <c r="BT102" s="645"/>
      <c r="BU102" s="645"/>
      <c r="BV102" s="645"/>
      <c r="BW102" s="645"/>
      <c r="BX102" s="645"/>
      <c r="BY102" s="645"/>
      <c r="BZ102" s="645"/>
      <c r="CA102" s="645"/>
      <c r="CB102" s="645"/>
      <c r="CC102" s="645"/>
      <c r="CD102" s="645"/>
      <c r="CE102" s="645"/>
      <c r="CF102" s="645"/>
      <c r="CG102" s="645"/>
      <c r="CH102" s="645"/>
      <c r="CI102" s="645"/>
      <c r="CJ102" s="645"/>
      <c r="CK102" s="645"/>
      <c r="CL102" s="645"/>
      <c r="CM102" s="645"/>
      <c r="CN102" s="645"/>
      <c r="CO102" s="645"/>
      <c r="CP102" s="645"/>
      <c r="CQ102" s="645"/>
      <c r="CR102" s="645"/>
      <c r="CS102" s="645"/>
      <c r="CT102" s="645"/>
      <c r="CU102" s="645"/>
      <c r="CV102" s="645"/>
      <c r="CW102" s="645"/>
      <c r="CX102" s="645"/>
      <c r="CY102" s="645"/>
      <c r="CZ102" s="645"/>
      <c r="DA102" s="645"/>
      <c r="DB102" s="645"/>
      <c r="DC102" s="645"/>
      <c r="DD102" s="645"/>
      <c r="DE102" s="645"/>
      <c r="DF102" s="645"/>
      <c r="DG102" s="645"/>
      <c r="DH102" s="645"/>
      <c r="DI102" s="645"/>
      <c r="DJ102" s="645"/>
      <c r="DK102" s="645"/>
      <c r="DL102" s="645"/>
      <c r="DM102" s="645"/>
      <c r="DN102" s="645"/>
      <c r="DO102" s="645"/>
      <c r="DP102" s="645"/>
      <c r="DQ102" s="645"/>
      <c r="DR102" s="645"/>
      <c r="DS102" s="645"/>
      <c r="DT102" s="645"/>
      <c r="DU102" s="645"/>
      <c r="DV102" s="645"/>
      <c r="DW102" s="645"/>
      <c r="DX102" s="645"/>
      <c r="DY102" s="645"/>
      <c r="DZ102" s="645"/>
    </row>
    <row r="103" spans="1:130">
      <c r="A103" s="645"/>
      <c r="B103" s="645"/>
      <c r="C103" s="645"/>
      <c r="D103" s="645"/>
      <c r="E103" s="645"/>
      <c r="F103" s="645"/>
      <c r="G103" s="645"/>
      <c r="H103" s="645"/>
      <c r="I103" s="645"/>
      <c r="J103" s="645"/>
      <c r="K103" s="645"/>
      <c r="L103" s="645"/>
      <c r="M103" s="645"/>
      <c r="N103" s="645"/>
      <c r="O103" s="645"/>
      <c r="P103" s="645"/>
      <c r="Q103" s="645"/>
      <c r="R103" s="645"/>
      <c r="S103" s="645"/>
      <c r="T103" s="645"/>
      <c r="U103" s="645"/>
      <c r="V103" s="645"/>
      <c r="W103" s="645"/>
      <c r="X103" s="645"/>
      <c r="Y103" s="645"/>
      <c r="Z103" s="645"/>
      <c r="AA103" s="645"/>
      <c r="AB103" s="645"/>
      <c r="AC103" s="645"/>
      <c r="AD103" s="645"/>
      <c r="AE103" s="645"/>
      <c r="AF103" s="645"/>
      <c r="AG103" s="645"/>
      <c r="AH103" s="645"/>
      <c r="AI103" s="645"/>
      <c r="AJ103" s="645"/>
      <c r="AK103" s="645"/>
      <c r="AL103" s="645"/>
      <c r="AM103" s="645"/>
      <c r="AN103" s="645"/>
      <c r="AO103" s="645"/>
      <c r="AP103" s="645"/>
      <c r="AQ103" s="645"/>
      <c r="AR103" s="645"/>
      <c r="AS103" s="645"/>
      <c r="AT103" s="645"/>
      <c r="AU103" s="645"/>
      <c r="AV103" s="645"/>
      <c r="AW103" s="645"/>
      <c r="AX103" s="645"/>
      <c r="AY103" s="645"/>
      <c r="AZ103" s="645"/>
      <c r="BA103" s="645"/>
      <c r="BB103" s="645"/>
      <c r="BC103" s="645"/>
      <c r="BD103" s="645"/>
      <c r="BE103" s="645"/>
      <c r="BF103" s="645"/>
      <c r="BG103" s="645"/>
      <c r="BH103" s="645"/>
      <c r="BI103" s="645"/>
      <c r="BJ103" s="645"/>
      <c r="BK103" s="645"/>
      <c r="BL103" s="645"/>
      <c r="BM103" s="645"/>
      <c r="BN103" s="645"/>
      <c r="BO103" s="645"/>
      <c r="BP103" s="645"/>
      <c r="BQ103" s="645"/>
      <c r="BR103" s="645"/>
      <c r="BS103" s="645"/>
      <c r="BT103" s="645"/>
      <c r="BU103" s="645"/>
      <c r="BV103" s="645"/>
      <c r="BW103" s="645"/>
      <c r="BX103" s="645"/>
      <c r="BY103" s="645"/>
      <c r="BZ103" s="645"/>
      <c r="CA103" s="645"/>
      <c r="CB103" s="645"/>
      <c r="CC103" s="645"/>
      <c r="CD103" s="645"/>
      <c r="CE103" s="645"/>
      <c r="CF103" s="645"/>
      <c r="CG103" s="645"/>
      <c r="CH103" s="645"/>
      <c r="CI103" s="645"/>
      <c r="CJ103" s="645"/>
      <c r="CK103" s="645"/>
      <c r="CL103" s="645"/>
      <c r="CM103" s="645"/>
      <c r="CN103" s="645"/>
      <c r="CO103" s="645"/>
      <c r="CP103" s="645"/>
      <c r="CQ103" s="645"/>
      <c r="CR103" s="645"/>
      <c r="CS103" s="645"/>
      <c r="CT103" s="645"/>
      <c r="CU103" s="645"/>
      <c r="CV103" s="645"/>
      <c r="CW103" s="645"/>
      <c r="CX103" s="645"/>
      <c r="CY103" s="645"/>
      <c r="CZ103" s="645"/>
      <c r="DA103" s="645"/>
      <c r="DB103" s="645"/>
      <c r="DC103" s="645"/>
      <c r="DD103" s="645"/>
      <c r="DE103" s="645"/>
      <c r="DF103" s="645"/>
      <c r="DG103" s="645"/>
      <c r="DH103" s="645"/>
      <c r="DI103" s="645"/>
      <c r="DJ103" s="645"/>
      <c r="DK103" s="645"/>
      <c r="DL103" s="645"/>
      <c r="DM103" s="645"/>
      <c r="DN103" s="645"/>
      <c r="DO103" s="645"/>
      <c r="DP103" s="645"/>
      <c r="DQ103" s="645"/>
      <c r="DR103" s="645"/>
      <c r="DS103" s="645"/>
      <c r="DT103" s="645"/>
      <c r="DU103" s="645"/>
      <c r="DV103" s="645"/>
      <c r="DW103" s="645"/>
      <c r="DX103" s="645"/>
      <c r="DY103" s="645"/>
      <c r="DZ103" s="645"/>
    </row>
    <row r="104" spans="1:130">
      <c r="A104" s="645"/>
      <c r="B104" s="645"/>
      <c r="C104" s="645"/>
      <c r="D104" s="645"/>
      <c r="E104" s="645"/>
      <c r="F104" s="645"/>
      <c r="G104" s="645"/>
      <c r="H104" s="645"/>
      <c r="I104" s="645"/>
      <c r="J104" s="645"/>
      <c r="K104" s="645"/>
      <c r="L104" s="645"/>
      <c r="M104" s="645"/>
      <c r="N104" s="645"/>
      <c r="O104" s="645"/>
      <c r="P104" s="645"/>
      <c r="Q104" s="645"/>
      <c r="R104" s="645"/>
      <c r="S104" s="645"/>
      <c r="T104" s="645"/>
      <c r="U104" s="645"/>
      <c r="V104" s="645"/>
      <c r="W104" s="645"/>
      <c r="X104" s="645"/>
      <c r="Y104" s="645"/>
      <c r="Z104" s="645"/>
      <c r="AA104" s="645"/>
      <c r="AB104" s="645"/>
      <c r="AC104" s="645"/>
      <c r="AD104" s="645"/>
      <c r="AE104" s="645"/>
      <c r="AF104" s="645"/>
      <c r="AG104" s="645"/>
      <c r="AH104" s="645"/>
      <c r="AI104" s="645"/>
      <c r="AJ104" s="645"/>
      <c r="AK104" s="645"/>
      <c r="AL104" s="645"/>
      <c r="AM104" s="645"/>
      <c r="AN104" s="645"/>
      <c r="AO104" s="645"/>
      <c r="AP104" s="645"/>
      <c r="AQ104" s="645"/>
      <c r="AR104" s="645"/>
      <c r="AS104" s="645"/>
      <c r="AT104" s="645"/>
      <c r="AU104" s="645"/>
      <c r="AV104" s="645"/>
      <c r="AW104" s="645"/>
      <c r="AX104" s="645"/>
      <c r="AY104" s="645"/>
      <c r="AZ104" s="645"/>
      <c r="BA104" s="645"/>
      <c r="BB104" s="645"/>
      <c r="BC104" s="645"/>
      <c r="BD104" s="645"/>
      <c r="BE104" s="645"/>
      <c r="BF104" s="645"/>
      <c r="BG104" s="645"/>
      <c r="BH104" s="645"/>
      <c r="BI104" s="645"/>
      <c r="BJ104" s="645"/>
      <c r="BK104" s="645"/>
      <c r="BL104" s="645"/>
      <c r="BM104" s="645"/>
      <c r="BN104" s="645"/>
      <c r="BO104" s="645"/>
      <c r="BP104" s="645"/>
      <c r="BQ104" s="645"/>
      <c r="BR104" s="645"/>
      <c r="BS104" s="645"/>
      <c r="BT104" s="645"/>
      <c r="BU104" s="645"/>
      <c r="BV104" s="645"/>
      <c r="BW104" s="645"/>
      <c r="BX104" s="645"/>
      <c r="BY104" s="645"/>
      <c r="BZ104" s="645"/>
      <c r="CA104" s="645"/>
      <c r="CB104" s="645"/>
      <c r="CC104" s="645"/>
      <c r="CD104" s="645"/>
      <c r="CE104" s="645"/>
      <c r="CF104" s="645"/>
      <c r="CG104" s="645"/>
      <c r="CH104" s="645"/>
      <c r="CI104" s="645"/>
      <c r="CJ104" s="645"/>
      <c r="CK104" s="645"/>
      <c r="CL104" s="645"/>
      <c r="CM104" s="645"/>
      <c r="CN104" s="645"/>
      <c r="CO104" s="645"/>
      <c r="CP104" s="645"/>
      <c r="CQ104" s="645"/>
      <c r="CR104" s="645"/>
      <c r="CS104" s="645"/>
      <c r="CT104" s="645"/>
      <c r="CU104" s="645"/>
      <c r="CV104" s="645"/>
      <c r="CW104" s="645"/>
      <c r="CX104" s="645"/>
      <c r="CY104" s="645"/>
      <c r="CZ104" s="645"/>
      <c r="DA104" s="645"/>
      <c r="DB104" s="645"/>
      <c r="DC104" s="645"/>
      <c r="DD104" s="645"/>
      <c r="DE104" s="645"/>
      <c r="DF104" s="645"/>
      <c r="DG104" s="645"/>
      <c r="DH104" s="645"/>
      <c r="DI104" s="645"/>
      <c r="DJ104" s="645"/>
      <c r="DK104" s="645"/>
      <c r="DL104" s="645"/>
      <c r="DM104" s="645"/>
      <c r="DN104" s="645"/>
      <c r="DO104" s="645"/>
      <c r="DP104" s="645"/>
      <c r="DQ104" s="645"/>
      <c r="DR104" s="645"/>
      <c r="DS104" s="645"/>
      <c r="DT104" s="645"/>
      <c r="DU104" s="645"/>
      <c r="DV104" s="645"/>
      <c r="DW104" s="645"/>
      <c r="DX104" s="645"/>
      <c r="DY104" s="645"/>
      <c r="DZ104" s="645"/>
    </row>
    <row r="105" spans="1:130">
      <c r="A105" s="645"/>
      <c r="B105" s="645"/>
      <c r="C105" s="645"/>
      <c r="D105" s="645"/>
      <c r="E105" s="645"/>
      <c r="F105" s="645"/>
      <c r="G105" s="645"/>
      <c r="H105" s="645"/>
      <c r="I105" s="645"/>
      <c r="J105" s="645"/>
      <c r="K105" s="645"/>
      <c r="L105" s="645"/>
      <c r="M105" s="645"/>
      <c r="N105" s="645"/>
      <c r="O105" s="645"/>
      <c r="P105" s="645"/>
      <c r="Q105" s="645"/>
      <c r="R105" s="645"/>
      <c r="S105" s="645"/>
      <c r="T105" s="645"/>
      <c r="U105" s="645"/>
      <c r="V105" s="645"/>
      <c r="W105" s="645"/>
      <c r="X105" s="645"/>
      <c r="Y105" s="645"/>
      <c r="Z105" s="645"/>
      <c r="AA105" s="645"/>
      <c r="AB105" s="645"/>
      <c r="AC105" s="645"/>
      <c r="AD105" s="645"/>
      <c r="AE105" s="645"/>
      <c r="AF105" s="645"/>
      <c r="AG105" s="645"/>
      <c r="AH105" s="645"/>
      <c r="AI105" s="645"/>
      <c r="AJ105" s="645"/>
      <c r="AK105" s="645"/>
      <c r="AL105" s="645"/>
      <c r="AM105" s="645"/>
      <c r="AN105" s="645"/>
      <c r="AO105" s="645"/>
      <c r="AP105" s="645"/>
      <c r="AQ105" s="645"/>
      <c r="AR105" s="645"/>
      <c r="AS105" s="645"/>
      <c r="AT105" s="645"/>
      <c r="AU105" s="645"/>
      <c r="AV105" s="645"/>
      <c r="AW105" s="645"/>
      <c r="AX105" s="645"/>
      <c r="AY105" s="645"/>
      <c r="AZ105" s="645"/>
      <c r="BA105" s="645"/>
      <c r="BB105" s="645"/>
      <c r="BC105" s="645"/>
      <c r="BD105" s="645"/>
      <c r="BE105" s="645"/>
      <c r="BF105" s="645"/>
      <c r="BG105" s="645"/>
      <c r="BH105" s="645"/>
      <c r="BI105" s="645"/>
      <c r="BJ105" s="645"/>
      <c r="BK105" s="645"/>
      <c r="BL105" s="645"/>
      <c r="BM105" s="645"/>
      <c r="BN105" s="645"/>
      <c r="BO105" s="645"/>
      <c r="BP105" s="645"/>
      <c r="BQ105" s="645"/>
      <c r="BR105" s="645"/>
      <c r="BS105" s="645"/>
      <c r="BT105" s="645"/>
      <c r="BU105" s="645"/>
      <c r="BV105" s="645"/>
      <c r="BW105" s="645"/>
      <c r="BX105" s="645"/>
      <c r="BY105" s="645"/>
      <c r="BZ105" s="645"/>
      <c r="CA105" s="645"/>
      <c r="CB105" s="645"/>
      <c r="CC105" s="645"/>
      <c r="CD105" s="645"/>
      <c r="CE105" s="645"/>
      <c r="CF105" s="645"/>
      <c r="CG105" s="645"/>
      <c r="CH105" s="645"/>
      <c r="CI105" s="645"/>
      <c r="CJ105" s="645"/>
      <c r="CK105" s="645"/>
      <c r="CL105" s="645"/>
      <c r="CM105" s="645"/>
      <c r="CN105" s="645"/>
      <c r="CO105" s="645"/>
      <c r="CP105" s="645"/>
      <c r="CQ105" s="645"/>
      <c r="CR105" s="645"/>
      <c r="CS105" s="645"/>
      <c r="CT105" s="645"/>
      <c r="CU105" s="645"/>
      <c r="CV105" s="645"/>
      <c r="CW105" s="645"/>
      <c r="CX105" s="645"/>
      <c r="CY105" s="645"/>
      <c r="CZ105" s="645"/>
      <c r="DA105" s="645"/>
      <c r="DB105" s="645"/>
      <c r="DC105" s="645"/>
      <c r="DD105" s="645"/>
      <c r="DE105" s="645"/>
      <c r="DF105" s="645"/>
      <c r="DG105" s="645"/>
      <c r="DH105" s="645"/>
      <c r="DI105" s="645"/>
      <c r="DJ105" s="645"/>
      <c r="DK105" s="645"/>
      <c r="DL105" s="645"/>
      <c r="DM105" s="645"/>
      <c r="DN105" s="645"/>
      <c r="DO105" s="645"/>
      <c r="DP105" s="645"/>
      <c r="DQ105" s="645"/>
      <c r="DR105" s="645"/>
      <c r="DS105" s="645"/>
      <c r="DT105" s="645"/>
      <c r="DU105" s="645"/>
      <c r="DV105" s="645"/>
      <c r="DW105" s="645"/>
      <c r="DX105" s="645"/>
      <c r="DY105" s="645"/>
      <c r="DZ105" s="645"/>
    </row>
    <row r="106" spans="1:130">
      <c r="A106" s="645"/>
      <c r="B106" s="645"/>
      <c r="C106" s="645"/>
      <c r="D106" s="645"/>
      <c r="E106" s="645"/>
      <c r="F106" s="645"/>
      <c r="G106" s="645"/>
      <c r="H106" s="645"/>
      <c r="I106" s="645"/>
      <c r="J106" s="645"/>
      <c r="K106" s="645"/>
      <c r="L106" s="645"/>
      <c r="M106" s="645"/>
      <c r="N106" s="645"/>
      <c r="O106" s="645"/>
      <c r="P106" s="645"/>
      <c r="Q106" s="645"/>
      <c r="R106" s="645"/>
      <c r="S106" s="645"/>
      <c r="T106" s="645"/>
      <c r="U106" s="645"/>
      <c r="V106" s="645"/>
      <c r="W106" s="645"/>
      <c r="X106" s="645"/>
      <c r="Y106" s="645"/>
      <c r="Z106" s="645"/>
      <c r="AA106" s="645"/>
      <c r="AB106" s="645"/>
      <c r="AC106" s="645"/>
      <c r="AD106" s="645"/>
      <c r="AE106" s="645"/>
      <c r="AF106" s="645"/>
      <c r="AG106" s="645"/>
      <c r="AH106" s="645"/>
      <c r="AI106" s="645"/>
      <c r="AJ106" s="645"/>
      <c r="AK106" s="645"/>
      <c r="AL106" s="645"/>
      <c r="AM106" s="645"/>
      <c r="AN106" s="645"/>
      <c r="AO106" s="645"/>
      <c r="AP106" s="645"/>
      <c r="AQ106" s="645"/>
      <c r="AR106" s="645"/>
      <c r="AS106" s="645"/>
      <c r="AT106" s="645"/>
      <c r="AU106" s="645"/>
      <c r="AV106" s="645"/>
      <c r="AW106" s="645"/>
      <c r="AX106" s="645"/>
      <c r="AY106" s="645"/>
      <c r="AZ106" s="645"/>
      <c r="BA106" s="645"/>
      <c r="BB106" s="645"/>
      <c r="BC106" s="645"/>
      <c r="BD106" s="645"/>
      <c r="BE106" s="645"/>
      <c r="BF106" s="645"/>
      <c r="BG106" s="645"/>
      <c r="BH106" s="645"/>
      <c r="BI106" s="645"/>
      <c r="BJ106" s="645"/>
      <c r="BK106" s="645"/>
      <c r="BL106" s="645"/>
      <c r="BM106" s="645"/>
      <c r="BN106" s="645"/>
      <c r="BO106" s="645"/>
      <c r="BP106" s="645"/>
      <c r="BQ106" s="645"/>
      <c r="BR106" s="645"/>
      <c r="BS106" s="645"/>
      <c r="BT106" s="645"/>
      <c r="BU106" s="645"/>
      <c r="BV106" s="645"/>
      <c r="BW106" s="645"/>
      <c r="BX106" s="645"/>
      <c r="BY106" s="645"/>
      <c r="BZ106" s="645"/>
      <c r="CA106" s="645"/>
      <c r="CB106" s="645"/>
      <c r="CC106" s="645"/>
      <c r="CD106" s="645"/>
      <c r="CE106" s="645"/>
      <c r="CF106" s="645"/>
      <c r="CG106" s="645"/>
      <c r="CH106" s="645"/>
      <c r="CI106" s="645"/>
      <c r="CJ106" s="645"/>
      <c r="CK106" s="645"/>
      <c r="CL106" s="645"/>
      <c r="CM106" s="645"/>
      <c r="CN106" s="645"/>
      <c r="CO106" s="645"/>
      <c r="CP106" s="645"/>
      <c r="CQ106" s="645"/>
      <c r="CR106" s="645"/>
      <c r="CS106" s="645"/>
      <c r="CT106" s="645"/>
      <c r="CU106" s="645"/>
      <c r="CV106" s="645"/>
      <c r="CW106" s="645"/>
      <c r="CX106" s="645"/>
      <c r="CY106" s="645"/>
      <c r="CZ106" s="645"/>
      <c r="DA106" s="645"/>
      <c r="DB106" s="645"/>
      <c r="DC106" s="645"/>
      <c r="DD106" s="645"/>
      <c r="DE106" s="645"/>
      <c r="DF106" s="645"/>
      <c r="DG106" s="645"/>
      <c r="DH106" s="645"/>
      <c r="DI106" s="645"/>
      <c r="DJ106" s="645"/>
      <c r="DK106" s="645"/>
      <c r="DL106" s="645"/>
      <c r="DM106" s="645"/>
      <c r="DN106" s="645"/>
      <c r="DO106" s="645"/>
      <c r="DP106" s="645"/>
      <c r="DQ106" s="645"/>
      <c r="DR106" s="645"/>
      <c r="DS106" s="645"/>
      <c r="DT106" s="645"/>
      <c r="DU106" s="645"/>
      <c r="DV106" s="645"/>
      <c r="DW106" s="645"/>
      <c r="DX106" s="645"/>
      <c r="DY106" s="645"/>
      <c r="DZ106" s="645"/>
    </row>
    <row r="107" spans="1:130">
      <c r="A107" s="645"/>
      <c r="B107" s="645"/>
      <c r="C107" s="645"/>
      <c r="D107" s="645"/>
      <c r="E107" s="645"/>
      <c r="F107" s="645"/>
      <c r="G107" s="645"/>
      <c r="H107" s="645"/>
      <c r="I107" s="645"/>
      <c r="J107" s="645"/>
      <c r="K107" s="645"/>
      <c r="L107" s="645"/>
      <c r="M107" s="645"/>
      <c r="N107" s="645"/>
      <c r="O107" s="645"/>
      <c r="P107" s="645"/>
      <c r="Q107" s="645"/>
      <c r="R107" s="645"/>
      <c r="S107" s="645"/>
      <c r="T107" s="645"/>
      <c r="U107" s="645"/>
      <c r="V107" s="645"/>
      <c r="W107" s="645"/>
      <c r="X107" s="645"/>
      <c r="Y107" s="645"/>
      <c r="Z107" s="645"/>
      <c r="AA107" s="645"/>
      <c r="AB107" s="645"/>
      <c r="AC107" s="645"/>
      <c r="AD107" s="645"/>
      <c r="AE107" s="645"/>
      <c r="AF107" s="645"/>
      <c r="AG107" s="645"/>
      <c r="AH107" s="645"/>
      <c r="AI107" s="645"/>
      <c r="AJ107" s="645"/>
      <c r="AK107" s="645"/>
      <c r="AL107" s="645"/>
      <c r="AM107" s="645"/>
      <c r="AN107" s="645"/>
      <c r="AO107" s="645"/>
      <c r="AP107" s="645"/>
      <c r="AQ107" s="645"/>
      <c r="AR107" s="645"/>
      <c r="AS107" s="645"/>
      <c r="AT107" s="645"/>
      <c r="AU107" s="645"/>
      <c r="AV107" s="645"/>
      <c r="AW107" s="645"/>
      <c r="AX107" s="645"/>
      <c r="AY107" s="645"/>
      <c r="AZ107" s="645"/>
      <c r="BA107" s="645"/>
      <c r="BB107" s="645"/>
      <c r="BC107" s="645"/>
      <c r="BD107" s="645"/>
      <c r="BE107" s="645"/>
      <c r="BF107" s="645"/>
      <c r="BG107" s="645"/>
      <c r="BH107" s="645"/>
      <c r="BI107" s="645"/>
      <c r="BJ107" s="645"/>
      <c r="BK107" s="645"/>
      <c r="BL107" s="645"/>
      <c r="BM107" s="645"/>
      <c r="BN107" s="645"/>
      <c r="BO107" s="645"/>
      <c r="BP107" s="645"/>
      <c r="BQ107" s="645"/>
      <c r="BR107" s="645"/>
      <c r="BS107" s="645"/>
      <c r="BT107" s="645"/>
      <c r="BU107" s="645"/>
      <c r="BV107" s="645"/>
      <c r="BW107" s="645"/>
      <c r="BX107" s="645"/>
      <c r="BY107" s="645"/>
      <c r="BZ107" s="645"/>
      <c r="CA107" s="645"/>
      <c r="CB107" s="645"/>
      <c r="CC107" s="645"/>
      <c r="CD107" s="645"/>
      <c r="CE107" s="645"/>
      <c r="CF107" s="645"/>
      <c r="CG107" s="645"/>
      <c r="CH107" s="645"/>
      <c r="CI107" s="645"/>
      <c r="CJ107" s="645"/>
      <c r="CK107" s="645"/>
      <c r="CL107" s="645"/>
      <c r="CM107" s="645"/>
      <c r="CN107" s="645"/>
      <c r="CO107" s="645"/>
      <c r="CP107" s="645"/>
      <c r="CQ107" s="645"/>
      <c r="CR107" s="645"/>
      <c r="CS107" s="645"/>
      <c r="CT107" s="645"/>
      <c r="CU107" s="645"/>
      <c r="CV107" s="645"/>
      <c r="CW107" s="645"/>
      <c r="CX107" s="645"/>
      <c r="CY107" s="645"/>
      <c r="CZ107" s="645"/>
      <c r="DA107" s="645"/>
      <c r="DB107" s="645"/>
      <c r="DC107" s="645"/>
      <c r="DD107" s="645"/>
      <c r="DE107" s="645"/>
      <c r="DF107" s="645"/>
      <c r="DG107" s="645"/>
      <c r="DH107" s="645"/>
      <c r="DI107" s="645"/>
      <c r="DJ107" s="645"/>
      <c r="DK107" s="645"/>
      <c r="DL107" s="645"/>
      <c r="DM107" s="645"/>
      <c r="DN107" s="645"/>
      <c r="DO107" s="645"/>
      <c r="DP107" s="645"/>
      <c r="DQ107" s="645"/>
      <c r="DR107" s="645"/>
      <c r="DS107" s="645"/>
      <c r="DT107" s="645"/>
      <c r="DU107" s="645"/>
      <c r="DV107" s="645"/>
      <c r="DW107" s="645"/>
      <c r="DX107" s="645"/>
      <c r="DY107" s="645"/>
      <c r="DZ107" s="645"/>
    </row>
    <row r="108" spans="1:130">
      <c r="A108" s="645"/>
      <c r="B108" s="645"/>
      <c r="C108" s="645"/>
      <c r="D108" s="645"/>
      <c r="E108" s="645"/>
      <c r="F108" s="645"/>
      <c r="G108" s="645"/>
      <c r="H108" s="645"/>
      <c r="I108" s="645"/>
      <c r="J108" s="645"/>
      <c r="K108" s="645"/>
      <c r="L108" s="645"/>
      <c r="M108" s="645"/>
      <c r="N108" s="645"/>
      <c r="O108" s="645"/>
      <c r="P108" s="645"/>
      <c r="Q108" s="645"/>
      <c r="R108" s="645"/>
      <c r="S108" s="645"/>
      <c r="T108" s="645"/>
      <c r="U108" s="645"/>
      <c r="V108" s="645"/>
      <c r="W108" s="645"/>
      <c r="X108" s="645"/>
      <c r="Y108" s="645"/>
      <c r="Z108" s="645"/>
      <c r="AA108" s="645"/>
      <c r="AB108" s="645"/>
      <c r="AC108" s="645"/>
      <c r="AD108" s="645"/>
      <c r="AE108" s="645"/>
      <c r="AF108" s="645"/>
      <c r="AG108" s="645"/>
      <c r="AH108" s="645"/>
      <c r="AI108" s="645"/>
      <c r="AJ108" s="645"/>
      <c r="AK108" s="645"/>
      <c r="AL108" s="645"/>
      <c r="AM108" s="645"/>
      <c r="AN108" s="645"/>
      <c r="AO108" s="645"/>
      <c r="AP108" s="645"/>
      <c r="AQ108" s="645"/>
      <c r="AR108" s="645"/>
      <c r="AS108" s="645"/>
      <c r="AT108" s="645"/>
      <c r="AU108" s="645"/>
      <c r="AV108" s="645"/>
      <c r="AW108" s="645"/>
      <c r="AX108" s="645"/>
      <c r="AY108" s="645"/>
      <c r="AZ108" s="645"/>
      <c r="BA108" s="645"/>
      <c r="BB108" s="645"/>
      <c r="BC108" s="645"/>
      <c r="BD108" s="645"/>
      <c r="BE108" s="645"/>
      <c r="BF108" s="645"/>
      <c r="BG108" s="645"/>
      <c r="BH108" s="645"/>
      <c r="BI108" s="645"/>
      <c r="BJ108" s="645"/>
      <c r="BK108" s="645"/>
      <c r="BL108" s="645"/>
      <c r="BM108" s="645"/>
      <c r="BN108" s="645"/>
      <c r="BO108" s="645"/>
      <c r="BP108" s="645"/>
      <c r="BQ108" s="645"/>
      <c r="BR108" s="645"/>
      <c r="BS108" s="645"/>
      <c r="BT108" s="645"/>
      <c r="BU108" s="645"/>
      <c r="BV108" s="645"/>
      <c r="BW108" s="645"/>
      <c r="BX108" s="645"/>
      <c r="BY108" s="645"/>
      <c r="BZ108" s="645"/>
      <c r="CA108" s="645"/>
      <c r="CB108" s="645"/>
      <c r="CC108" s="645"/>
      <c r="CD108" s="645"/>
      <c r="CE108" s="645"/>
      <c r="CF108" s="645"/>
      <c r="CG108" s="645"/>
      <c r="CH108" s="645"/>
      <c r="CI108" s="645"/>
      <c r="CJ108" s="645"/>
      <c r="CK108" s="645"/>
      <c r="CL108" s="645"/>
      <c r="CM108" s="645"/>
      <c r="CN108" s="645"/>
      <c r="CO108" s="645"/>
      <c r="CP108" s="645"/>
      <c r="CQ108" s="645"/>
      <c r="CR108" s="645"/>
      <c r="CS108" s="645"/>
      <c r="CT108" s="645"/>
      <c r="CU108" s="645"/>
      <c r="CV108" s="645"/>
      <c r="CW108" s="645"/>
      <c r="CX108" s="645"/>
      <c r="CY108" s="645"/>
      <c r="CZ108" s="645"/>
      <c r="DA108" s="645"/>
      <c r="DB108" s="645"/>
      <c r="DC108" s="645"/>
      <c r="DD108" s="645"/>
      <c r="DE108" s="645"/>
      <c r="DF108" s="645"/>
      <c r="DG108" s="645"/>
      <c r="DH108" s="645"/>
      <c r="DI108" s="645"/>
      <c r="DJ108" s="645"/>
      <c r="DK108" s="645"/>
      <c r="DL108" s="645"/>
      <c r="DM108" s="645"/>
      <c r="DN108" s="645"/>
      <c r="DO108" s="645"/>
      <c r="DP108" s="645"/>
      <c r="DQ108" s="645"/>
      <c r="DR108" s="645"/>
      <c r="DS108" s="645"/>
      <c r="DT108" s="645"/>
      <c r="DU108" s="645"/>
      <c r="DV108" s="645"/>
      <c r="DW108" s="645"/>
      <c r="DX108" s="645"/>
      <c r="DY108" s="645"/>
      <c r="DZ108" s="645"/>
    </row>
    <row r="109" spans="1:130">
      <c r="A109" s="645"/>
      <c r="B109" s="645"/>
      <c r="C109" s="645"/>
      <c r="D109" s="645"/>
      <c r="E109" s="645"/>
      <c r="F109" s="645"/>
      <c r="G109" s="645"/>
      <c r="H109" s="645"/>
      <c r="I109" s="645"/>
      <c r="J109" s="645"/>
      <c r="K109" s="645"/>
      <c r="L109" s="645"/>
      <c r="M109" s="645"/>
      <c r="N109" s="645"/>
      <c r="O109" s="645"/>
      <c r="P109" s="645"/>
      <c r="Q109" s="645"/>
      <c r="R109" s="645"/>
      <c r="S109" s="645"/>
      <c r="T109" s="645"/>
      <c r="U109" s="645"/>
      <c r="V109" s="645"/>
      <c r="W109" s="645"/>
      <c r="X109" s="645"/>
      <c r="Y109" s="645"/>
      <c r="Z109" s="645"/>
      <c r="AA109" s="645"/>
      <c r="AB109" s="645"/>
      <c r="AC109" s="645"/>
      <c r="AD109" s="645"/>
      <c r="AE109" s="645"/>
      <c r="AF109" s="645"/>
      <c r="AG109" s="645"/>
      <c r="AH109" s="645"/>
      <c r="AI109" s="645"/>
      <c r="AJ109" s="645"/>
      <c r="AK109" s="645"/>
      <c r="AL109" s="645"/>
      <c r="AM109" s="645"/>
      <c r="AN109" s="645"/>
      <c r="AO109" s="645"/>
      <c r="AP109" s="645"/>
      <c r="AQ109" s="645"/>
      <c r="AR109" s="645"/>
      <c r="AS109" s="645"/>
      <c r="AT109" s="645"/>
      <c r="AU109" s="645"/>
      <c r="AV109" s="645"/>
      <c r="AW109" s="645"/>
      <c r="AX109" s="645"/>
      <c r="AY109" s="645"/>
      <c r="AZ109" s="645"/>
      <c r="BA109" s="645"/>
      <c r="BB109" s="645"/>
      <c r="BC109" s="645"/>
      <c r="BD109" s="645"/>
      <c r="BE109" s="645"/>
      <c r="BF109" s="645"/>
      <c r="BG109" s="645"/>
      <c r="BH109" s="645"/>
      <c r="BI109" s="645"/>
      <c r="BJ109" s="645"/>
      <c r="BK109" s="645"/>
      <c r="BL109" s="645"/>
      <c r="BM109" s="645"/>
      <c r="BN109" s="645"/>
      <c r="BO109" s="645"/>
      <c r="BP109" s="645"/>
      <c r="BQ109" s="645"/>
      <c r="BR109" s="645"/>
      <c r="BS109" s="645"/>
      <c r="BT109" s="645"/>
      <c r="BU109" s="645"/>
      <c r="BV109" s="645"/>
      <c r="BW109" s="645"/>
      <c r="BX109" s="645"/>
      <c r="BY109" s="645"/>
      <c r="BZ109" s="645"/>
      <c r="CA109" s="645"/>
      <c r="CB109" s="645"/>
      <c r="CC109" s="645"/>
      <c r="CD109" s="645"/>
      <c r="CE109" s="645"/>
      <c r="CF109" s="645"/>
      <c r="CG109" s="645"/>
      <c r="CH109" s="645"/>
      <c r="CI109" s="645"/>
      <c r="CJ109" s="645"/>
      <c r="CK109" s="645"/>
      <c r="CL109" s="645"/>
      <c r="CM109" s="645"/>
      <c r="CN109" s="645"/>
      <c r="CO109" s="645"/>
      <c r="CP109" s="645"/>
      <c r="CQ109" s="645"/>
      <c r="CR109" s="645"/>
      <c r="CS109" s="645"/>
      <c r="CT109" s="645"/>
      <c r="CU109" s="645"/>
      <c r="CV109" s="645"/>
      <c r="CW109" s="645"/>
      <c r="CX109" s="645"/>
      <c r="CY109" s="645"/>
      <c r="CZ109" s="645"/>
      <c r="DA109" s="645"/>
      <c r="DB109" s="645"/>
      <c r="DC109" s="645"/>
      <c r="DD109" s="645"/>
      <c r="DE109" s="645"/>
      <c r="DF109" s="645"/>
      <c r="DG109" s="645"/>
      <c r="DH109" s="645"/>
      <c r="DI109" s="645"/>
      <c r="DJ109" s="645"/>
      <c r="DK109" s="645"/>
      <c r="DL109" s="645"/>
      <c r="DM109" s="645"/>
      <c r="DN109" s="645"/>
      <c r="DO109" s="645"/>
      <c r="DP109" s="645"/>
      <c r="DQ109" s="645"/>
      <c r="DR109" s="645"/>
      <c r="DS109" s="645"/>
      <c r="DT109" s="645"/>
      <c r="DU109" s="645"/>
      <c r="DV109" s="645"/>
      <c r="DW109" s="645"/>
      <c r="DX109" s="645"/>
      <c r="DY109" s="645"/>
      <c r="DZ109" s="645"/>
    </row>
    <row r="110" spans="1:130">
      <c r="A110" s="645"/>
      <c r="B110" s="645"/>
      <c r="C110" s="645"/>
      <c r="D110" s="645"/>
      <c r="E110" s="645"/>
      <c r="F110" s="645"/>
      <c r="G110" s="645"/>
      <c r="H110" s="645"/>
      <c r="I110" s="645"/>
      <c r="J110" s="645"/>
      <c r="K110" s="645"/>
      <c r="L110" s="645"/>
      <c r="M110" s="645"/>
      <c r="N110" s="645"/>
      <c r="O110" s="645"/>
      <c r="P110" s="645"/>
      <c r="Q110" s="645"/>
      <c r="R110" s="645"/>
      <c r="S110" s="645"/>
      <c r="T110" s="645"/>
      <c r="U110" s="645"/>
      <c r="V110" s="645"/>
      <c r="W110" s="645"/>
      <c r="X110" s="645"/>
      <c r="Y110" s="645"/>
      <c r="Z110" s="645"/>
      <c r="AA110" s="645"/>
      <c r="AB110" s="645"/>
      <c r="AC110" s="645"/>
      <c r="AD110" s="645"/>
      <c r="AE110" s="645"/>
      <c r="AF110" s="645"/>
      <c r="AG110" s="645"/>
      <c r="AH110" s="645"/>
      <c r="AI110" s="645"/>
      <c r="AJ110" s="645"/>
      <c r="AK110" s="645"/>
      <c r="AL110" s="645"/>
      <c r="AM110" s="645"/>
      <c r="AN110" s="645"/>
      <c r="AO110" s="645"/>
      <c r="AP110" s="645"/>
      <c r="AQ110" s="645"/>
      <c r="AR110" s="645"/>
      <c r="AS110" s="645"/>
      <c r="AT110" s="645"/>
      <c r="AU110" s="645"/>
      <c r="AV110" s="645"/>
      <c r="AW110" s="645"/>
      <c r="AX110" s="645"/>
      <c r="AY110" s="645"/>
      <c r="AZ110" s="645"/>
      <c r="BA110" s="645"/>
      <c r="BB110" s="645"/>
      <c r="BC110" s="645"/>
      <c r="BD110" s="645"/>
      <c r="BE110" s="645"/>
      <c r="BF110" s="645"/>
      <c r="BG110" s="645"/>
      <c r="BH110" s="645"/>
      <c r="BI110" s="645"/>
      <c r="BJ110" s="645"/>
      <c r="BK110" s="645"/>
      <c r="BL110" s="645"/>
      <c r="BM110" s="645"/>
      <c r="BN110" s="645"/>
      <c r="BO110" s="645"/>
      <c r="BP110" s="645"/>
      <c r="BQ110" s="645"/>
      <c r="BR110" s="645"/>
      <c r="BS110" s="645"/>
      <c r="BT110" s="645"/>
      <c r="BU110" s="645"/>
      <c r="BV110" s="645"/>
      <c r="BW110" s="645"/>
      <c r="BX110" s="645"/>
      <c r="BY110" s="645"/>
      <c r="BZ110" s="645"/>
      <c r="CA110" s="645"/>
      <c r="CB110" s="645"/>
      <c r="CC110" s="645"/>
      <c r="CD110" s="645"/>
      <c r="CE110" s="645"/>
      <c r="CF110" s="645"/>
      <c r="CG110" s="645"/>
      <c r="CH110" s="645"/>
      <c r="CI110" s="645"/>
      <c r="CJ110" s="645"/>
      <c r="CK110" s="645"/>
      <c r="CL110" s="645"/>
      <c r="CM110" s="645"/>
      <c r="CN110" s="645"/>
      <c r="CO110" s="645"/>
      <c r="CP110" s="645"/>
      <c r="CQ110" s="645"/>
      <c r="CR110" s="645"/>
      <c r="CS110" s="645"/>
      <c r="CT110" s="645"/>
      <c r="CU110" s="645"/>
      <c r="CV110" s="645"/>
      <c r="CW110" s="645"/>
      <c r="CX110" s="645"/>
      <c r="CY110" s="645"/>
      <c r="CZ110" s="645"/>
      <c r="DA110" s="645"/>
      <c r="DB110" s="645"/>
      <c r="DC110" s="645"/>
      <c r="DD110" s="645"/>
      <c r="DE110" s="645"/>
      <c r="DF110" s="645"/>
      <c r="DG110" s="645"/>
      <c r="DH110" s="645"/>
      <c r="DI110" s="645"/>
      <c r="DJ110" s="645"/>
      <c r="DK110" s="645"/>
      <c r="DL110" s="645"/>
      <c r="DM110" s="645"/>
      <c r="DN110" s="645"/>
      <c r="DO110" s="645"/>
      <c r="DP110" s="645"/>
      <c r="DQ110" s="645"/>
      <c r="DR110" s="645"/>
      <c r="DS110" s="645"/>
      <c r="DT110" s="645"/>
      <c r="DU110" s="645"/>
      <c r="DV110" s="645"/>
      <c r="DW110" s="645"/>
      <c r="DX110" s="645"/>
      <c r="DY110" s="645"/>
      <c r="DZ110" s="645"/>
    </row>
    <row r="111" spans="1:130">
      <c r="A111" s="645"/>
      <c r="B111" s="645"/>
      <c r="C111" s="645"/>
      <c r="D111" s="645"/>
      <c r="E111" s="645"/>
      <c r="F111" s="645"/>
      <c r="G111" s="645"/>
      <c r="H111" s="645"/>
      <c r="I111" s="645"/>
      <c r="J111" s="645"/>
      <c r="K111" s="645"/>
      <c r="L111" s="645"/>
      <c r="M111" s="645"/>
      <c r="N111" s="645"/>
      <c r="O111" s="645"/>
      <c r="P111" s="645"/>
      <c r="Q111" s="645"/>
      <c r="R111" s="645"/>
      <c r="S111" s="645"/>
      <c r="T111" s="645"/>
      <c r="U111" s="645"/>
      <c r="V111" s="645"/>
      <c r="W111" s="645"/>
      <c r="X111" s="645"/>
      <c r="Y111" s="645"/>
      <c r="Z111" s="645"/>
      <c r="AA111" s="645"/>
      <c r="AB111" s="645"/>
      <c r="AC111" s="645"/>
      <c r="AD111" s="645"/>
      <c r="AE111" s="645"/>
      <c r="AF111" s="645"/>
      <c r="AG111" s="645"/>
      <c r="AH111" s="645"/>
      <c r="AI111" s="645"/>
      <c r="AJ111" s="645"/>
      <c r="AK111" s="645"/>
      <c r="AL111" s="645"/>
      <c r="AM111" s="645"/>
      <c r="AN111" s="645"/>
      <c r="AO111" s="645"/>
      <c r="AP111" s="645"/>
      <c r="AQ111" s="645"/>
      <c r="AR111" s="645"/>
      <c r="AS111" s="645"/>
      <c r="AT111" s="645"/>
      <c r="AU111" s="645"/>
      <c r="AV111" s="645"/>
      <c r="AW111" s="645"/>
      <c r="AX111" s="645"/>
      <c r="AY111" s="645"/>
      <c r="AZ111" s="645"/>
      <c r="BA111" s="645"/>
      <c r="BB111" s="645"/>
      <c r="BC111" s="645"/>
      <c r="BD111" s="645"/>
      <c r="BE111" s="645"/>
      <c r="BF111" s="645"/>
      <c r="BG111" s="645"/>
      <c r="BH111" s="645"/>
      <c r="BI111" s="645"/>
      <c r="BJ111" s="645"/>
      <c r="BK111" s="645"/>
      <c r="BL111" s="645"/>
      <c r="BM111" s="645"/>
      <c r="BN111" s="645"/>
      <c r="BO111" s="645"/>
      <c r="BP111" s="645"/>
      <c r="BQ111" s="645"/>
      <c r="BR111" s="645"/>
      <c r="BS111" s="645"/>
      <c r="BT111" s="645"/>
      <c r="BU111" s="645"/>
      <c r="BV111" s="645"/>
      <c r="BW111" s="645"/>
      <c r="BX111" s="645"/>
      <c r="BY111" s="645"/>
      <c r="BZ111" s="645"/>
      <c r="CA111" s="645"/>
      <c r="CB111" s="645"/>
      <c r="CC111" s="645"/>
      <c r="CD111" s="645"/>
      <c r="CE111" s="645"/>
      <c r="CF111" s="645"/>
      <c r="CG111" s="645"/>
      <c r="CH111" s="645"/>
      <c r="CI111" s="645"/>
      <c r="CJ111" s="645"/>
      <c r="CK111" s="645"/>
      <c r="CL111" s="645"/>
      <c r="CM111" s="645"/>
      <c r="CN111" s="645"/>
      <c r="CO111" s="645"/>
      <c r="CP111" s="645"/>
      <c r="CQ111" s="645"/>
      <c r="CR111" s="645"/>
      <c r="CS111" s="645"/>
      <c r="CT111" s="645"/>
      <c r="CU111" s="645"/>
      <c r="CV111" s="645"/>
      <c r="CW111" s="645"/>
      <c r="CX111" s="645"/>
      <c r="CY111" s="645"/>
      <c r="CZ111" s="645"/>
      <c r="DA111" s="645"/>
      <c r="DB111" s="645"/>
      <c r="DC111" s="645"/>
      <c r="DD111" s="645"/>
      <c r="DE111" s="645"/>
      <c r="DF111" s="645"/>
      <c r="DG111" s="645"/>
      <c r="DH111" s="645"/>
      <c r="DI111" s="645"/>
      <c r="DJ111" s="645"/>
      <c r="DK111" s="645"/>
      <c r="DL111" s="645"/>
      <c r="DM111" s="645"/>
      <c r="DN111" s="645"/>
      <c r="DO111" s="645"/>
      <c r="DP111" s="645"/>
      <c r="DQ111" s="645"/>
      <c r="DR111" s="645"/>
      <c r="DS111" s="645"/>
      <c r="DT111" s="645"/>
      <c r="DU111" s="645"/>
      <c r="DV111" s="645"/>
      <c r="DW111" s="645"/>
      <c r="DX111" s="645"/>
      <c r="DY111" s="645"/>
      <c r="DZ111" s="645"/>
    </row>
    <row r="112" spans="1:130">
      <c r="A112" s="645"/>
      <c r="B112" s="645"/>
      <c r="C112" s="645"/>
      <c r="D112" s="645"/>
      <c r="E112" s="645"/>
      <c r="F112" s="645"/>
      <c r="G112" s="645"/>
      <c r="H112" s="645"/>
      <c r="I112" s="645"/>
      <c r="J112" s="645"/>
      <c r="K112" s="645"/>
      <c r="L112" s="645"/>
      <c r="M112" s="645"/>
      <c r="N112" s="645"/>
      <c r="O112" s="645"/>
      <c r="P112" s="645"/>
      <c r="Q112" s="645"/>
      <c r="R112" s="645"/>
      <c r="S112" s="645"/>
      <c r="T112" s="645"/>
      <c r="U112" s="645"/>
      <c r="V112" s="645"/>
      <c r="W112" s="645"/>
      <c r="X112" s="645"/>
      <c r="Y112" s="645"/>
      <c r="Z112" s="645"/>
      <c r="AA112" s="645"/>
      <c r="AB112" s="645"/>
      <c r="AC112" s="645"/>
      <c r="AD112" s="645"/>
      <c r="AE112" s="645"/>
      <c r="AF112" s="645"/>
      <c r="AG112" s="645"/>
      <c r="AH112" s="645"/>
      <c r="AI112" s="645"/>
      <c r="AJ112" s="645"/>
      <c r="AK112" s="645"/>
      <c r="AL112" s="645"/>
      <c r="AM112" s="645"/>
      <c r="AN112" s="645"/>
      <c r="AO112" s="645"/>
      <c r="AP112" s="645"/>
      <c r="AQ112" s="645"/>
      <c r="AR112" s="645"/>
      <c r="AS112" s="645"/>
      <c r="AT112" s="645"/>
      <c r="AU112" s="645"/>
      <c r="AV112" s="645"/>
      <c r="AW112" s="645"/>
      <c r="AX112" s="645"/>
      <c r="AY112" s="645"/>
      <c r="AZ112" s="645"/>
      <c r="BA112" s="645"/>
      <c r="BB112" s="645"/>
      <c r="BC112" s="645"/>
      <c r="BD112" s="645"/>
      <c r="BE112" s="645"/>
      <c r="BF112" s="645"/>
      <c r="BG112" s="645"/>
      <c r="BH112" s="645"/>
      <c r="BI112" s="645"/>
      <c r="BJ112" s="645"/>
      <c r="BK112" s="645"/>
      <c r="BL112" s="645"/>
      <c r="BM112" s="645"/>
      <c r="BN112" s="645"/>
      <c r="BO112" s="645"/>
      <c r="BP112" s="645"/>
      <c r="BQ112" s="645"/>
      <c r="BR112" s="645"/>
      <c r="BS112" s="645"/>
      <c r="BT112" s="645"/>
      <c r="BU112" s="645"/>
      <c r="BV112" s="645"/>
      <c r="BW112" s="645"/>
      <c r="BX112" s="645"/>
      <c r="BY112" s="645"/>
      <c r="BZ112" s="645"/>
      <c r="CA112" s="645"/>
      <c r="CB112" s="645"/>
      <c r="CC112" s="645"/>
      <c r="CD112" s="645"/>
      <c r="CE112" s="645"/>
      <c r="CF112" s="645"/>
      <c r="CG112" s="645"/>
      <c r="CH112" s="645"/>
      <c r="CI112" s="645"/>
      <c r="CJ112" s="645"/>
      <c r="CK112" s="645"/>
      <c r="CL112" s="645"/>
      <c r="CM112" s="645"/>
      <c r="CN112" s="645"/>
      <c r="CO112" s="645"/>
      <c r="CP112" s="645"/>
      <c r="CQ112" s="645"/>
      <c r="CR112" s="645"/>
      <c r="CS112" s="645"/>
      <c r="CT112" s="645"/>
      <c r="CU112" s="645"/>
      <c r="CV112" s="645"/>
      <c r="CW112" s="645"/>
      <c r="CX112" s="645"/>
      <c r="CY112" s="645"/>
      <c r="CZ112" s="645"/>
      <c r="DA112" s="645"/>
      <c r="DB112" s="645"/>
      <c r="DC112" s="645"/>
      <c r="DD112" s="645"/>
      <c r="DE112" s="645"/>
      <c r="DF112" s="645"/>
      <c r="DG112" s="645"/>
      <c r="DH112" s="645"/>
      <c r="DI112" s="645"/>
      <c r="DJ112" s="645"/>
      <c r="DK112" s="645"/>
      <c r="DL112" s="645"/>
      <c r="DM112" s="645"/>
      <c r="DN112" s="645"/>
      <c r="DO112" s="645"/>
      <c r="DP112" s="645"/>
      <c r="DQ112" s="645"/>
      <c r="DR112" s="645"/>
      <c r="DS112" s="645"/>
      <c r="DT112" s="645"/>
      <c r="DU112" s="645"/>
      <c r="DV112" s="645"/>
      <c r="DW112" s="645"/>
      <c r="DX112" s="645"/>
      <c r="DY112" s="645"/>
      <c r="DZ112" s="645"/>
    </row>
    <row r="113" spans="1:130">
      <c r="A113" s="645"/>
      <c r="B113" s="645"/>
      <c r="C113" s="645"/>
      <c r="D113" s="645"/>
      <c r="E113" s="645"/>
      <c r="F113" s="645"/>
      <c r="G113" s="645"/>
      <c r="H113" s="645"/>
      <c r="I113" s="645"/>
      <c r="J113" s="645"/>
      <c r="K113" s="645"/>
      <c r="L113" s="645"/>
      <c r="M113" s="645"/>
      <c r="N113" s="645"/>
      <c r="O113" s="645"/>
      <c r="P113" s="645"/>
      <c r="Q113" s="645"/>
      <c r="R113" s="645"/>
      <c r="S113" s="645"/>
      <c r="T113" s="645"/>
      <c r="U113" s="645"/>
      <c r="V113" s="645"/>
      <c r="W113" s="645"/>
      <c r="X113" s="645"/>
      <c r="Y113" s="645"/>
      <c r="Z113" s="645"/>
      <c r="AA113" s="645"/>
      <c r="AB113" s="645"/>
      <c r="AC113" s="645"/>
      <c r="AD113" s="645"/>
      <c r="AE113" s="645"/>
      <c r="AF113" s="645"/>
      <c r="AG113" s="645"/>
      <c r="AH113" s="645"/>
      <c r="AI113" s="645"/>
      <c r="AJ113" s="645"/>
      <c r="AK113" s="645"/>
      <c r="AL113" s="645"/>
      <c r="AM113" s="645"/>
      <c r="AN113" s="645"/>
      <c r="AO113" s="645"/>
      <c r="AP113" s="645"/>
      <c r="AQ113" s="645"/>
      <c r="AR113" s="645"/>
      <c r="AS113" s="645"/>
      <c r="AT113" s="645"/>
      <c r="AU113" s="645"/>
      <c r="AV113" s="645"/>
      <c r="AW113" s="645"/>
      <c r="AX113" s="645"/>
      <c r="AY113" s="645"/>
      <c r="AZ113" s="645"/>
      <c r="BA113" s="645"/>
      <c r="BB113" s="645"/>
      <c r="BC113" s="645"/>
      <c r="BD113" s="645"/>
      <c r="BE113" s="645"/>
      <c r="BF113" s="645"/>
      <c r="BG113" s="645"/>
      <c r="BH113" s="645"/>
      <c r="BI113" s="645"/>
      <c r="BJ113" s="645"/>
      <c r="BK113" s="645"/>
      <c r="BL113" s="645"/>
      <c r="BM113" s="645"/>
      <c r="BN113" s="645"/>
      <c r="BO113" s="645"/>
      <c r="BP113" s="645"/>
      <c r="BQ113" s="645"/>
      <c r="BR113" s="645"/>
      <c r="BS113" s="645"/>
      <c r="BT113" s="645"/>
      <c r="BU113" s="645"/>
      <c r="BV113" s="645"/>
      <c r="BW113" s="645"/>
      <c r="BX113" s="645"/>
      <c r="BY113" s="645"/>
      <c r="BZ113" s="645"/>
      <c r="CA113" s="645"/>
      <c r="CB113" s="645"/>
      <c r="CC113" s="645"/>
      <c r="CD113" s="645"/>
      <c r="CE113" s="645"/>
      <c r="CF113" s="645"/>
      <c r="CG113" s="645"/>
      <c r="CH113" s="645"/>
      <c r="CI113" s="645"/>
      <c r="CJ113" s="645"/>
      <c r="CK113" s="645"/>
      <c r="CL113" s="645"/>
      <c r="CM113" s="645"/>
      <c r="CN113" s="645"/>
      <c r="CO113" s="645"/>
      <c r="CP113" s="645"/>
      <c r="CQ113" s="645"/>
      <c r="CR113" s="645"/>
      <c r="CS113" s="645"/>
      <c r="CT113" s="645"/>
      <c r="CU113" s="645"/>
      <c r="CV113" s="645"/>
      <c r="CW113" s="645"/>
      <c r="CX113" s="645"/>
      <c r="CY113" s="645"/>
      <c r="CZ113" s="645"/>
      <c r="DA113" s="645"/>
      <c r="DB113" s="645"/>
      <c r="DC113" s="645"/>
      <c r="DD113" s="645"/>
      <c r="DE113" s="645"/>
      <c r="DF113" s="645"/>
      <c r="DG113" s="645"/>
      <c r="DH113" s="645"/>
      <c r="DI113" s="645"/>
      <c r="DJ113" s="645"/>
      <c r="DK113" s="645"/>
      <c r="DL113" s="645"/>
      <c r="DM113" s="645"/>
      <c r="DN113" s="645"/>
      <c r="DO113" s="645"/>
      <c r="DP113" s="645"/>
      <c r="DQ113" s="645"/>
      <c r="DR113" s="645"/>
      <c r="DS113" s="645"/>
      <c r="DT113" s="645"/>
      <c r="DU113" s="645"/>
      <c r="DV113" s="645"/>
      <c r="DW113" s="645"/>
      <c r="DX113" s="645"/>
      <c r="DY113" s="645"/>
      <c r="DZ113" s="645"/>
    </row>
    <row r="114" spans="1:130">
      <c r="A114" s="645"/>
      <c r="B114" s="645"/>
      <c r="C114" s="645"/>
      <c r="D114" s="645"/>
      <c r="E114" s="645"/>
      <c r="F114" s="645"/>
      <c r="G114" s="645"/>
      <c r="H114" s="645"/>
      <c r="I114" s="645"/>
      <c r="J114" s="645"/>
      <c r="K114" s="645"/>
      <c r="L114" s="645"/>
      <c r="M114" s="645"/>
      <c r="N114" s="645"/>
      <c r="O114" s="645"/>
      <c r="P114" s="645"/>
      <c r="Q114" s="645"/>
      <c r="R114" s="645"/>
      <c r="S114" s="645"/>
      <c r="T114" s="645"/>
      <c r="U114" s="645"/>
      <c r="V114" s="645"/>
      <c r="W114" s="645"/>
      <c r="X114" s="645"/>
      <c r="Y114" s="645"/>
      <c r="Z114" s="645"/>
      <c r="AA114" s="645"/>
      <c r="AB114" s="645"/>
      <c r="AC114" s="645"/>
      <c r="AD114" s="645"/>
      <c r="AE114" s="645"/>
      <c r="AF114" s="645"/>
      <c r="AG114" s="645"/>
      <c r="AH114" s="645"/>
      <c r="AI114" s="645"/>
      <c r="AJ114" s="645"/>
      <c r="AK114" s="645"/>
      <c r="AL114" s="645"/>
      <c r="AM114" s="645"/>
      <c r="AN114" s="645"/>
      <c r="AO114" s="645"/>
      <c r="AP114" s="645"/>
      <c r="AQ114" s="645"/>
      <c r="AR114" s="645"/>
      <c r="AS114" s="645"/>
      <c r="AT114" s="645"/>
      <c r="AU114" s="645"/>
      <c r="AV114" s="645"/>
      <c r="AW114" s="645"/>
      <c r="AX114" s="645"/>
      <c r="AY114" s="645"/>
      <c r="AZ114" s="645"/>
      <c r="BA114" s="645"/>
      <c r="BB114" s="645"/>
      <c r="BC114" s="645"/>
      <c r="BD114" s="645"/>
      <c r="BE114" s="645"/>
      <c r="BF114" s="645"/>
      <c r="BG114" s="645"/>
      <c r="BH114" s="645"/>
      <c r="BI114" s="645"/>
      <c r="BJ114" s="645"/>
      <c r="BK114" s="645"/>
      <c r="BL114" s="645"/>
      <c r="BM114" s="645"/>
      <c r="BN114" s="645"/>
      <c r="BO114" s="645"/>
      <c r="BP114" s="645"/>
      <c r="BQ114" s="645"/>
      <c r="BR114" s="645"/>
      <c r="BS114" s="645"/>
      <c r="BT114" s="645"/>
      <c r="BU114" s="645"/>
      <c r="BV114" s="645"/>
      <c r="BW114" s="645"/>
      <c r="BX114" s="645"/>
      <c r="BY114" s="645"/>
      <c r="BZ114" s="645"/>
      <c r="CA114" s="645"/>
      <c r="CB114" s="645"/>
      <c r="CC114" s="645"/>
      <c r="CD114" s="645"/>
      <c r="CE114" s="645"/>
      <c r="CF114" s="645"/>
      <c r="CG114" s="645"/>
      <c r="CH114" s="645"/>
      <c r="CI114" s="645"/>
      <c r="CJ114" s="645"/>
      <c r="CK114" s="645"/>
      <c r="CL114" s="645"/>
      <c r="CM114" s="645"/>
      <c r="CN114" s="645"/>
      <c r="CO114" s="645"/>
      <c r="CP114" s="645"/>
      <c r="CQ114" s="645"/>
      <c r="CR114" s="645"/>
      <c r="CS114" s="645"/>
      <c r="CT114" s="645"/>
      <c r="CU114" s="645"/>
      <c r="CV114" s="645"/>
      <c r="CW114" s="645"/>
      <c r="CX114" s="645"/>
      <c r="CY114" s="645"/>
      <c r="CZ114" s="645"/>
      <c r="DA114" s="645"/>
      <c r="DB114" s="645"/>
      <c r="DC114" s="645"/>
      <c r="DD114" s="645"/>
      <c r="DE114" s="645"/>
      <c r="DF114" s="645"/>
      <c r="DG114" s="645"/>
      <c r="DH114" s="645"/>
      <c r="DI114" s="645"/>
      <c r="DJ114" s="645"/>
      <c r="DK114" s="645"/>
      <c r="DL114" s="645"/>
      <c r="DM114" s="645"/>
      <c r="DN114" s="645"/>
      <c r="DO114" s="645"/>
      <c r="DP114" s="645"/>
      <c r="DQ114" s="645"/>
      <c r="DR114" s="645"/>
      <c r="DS114" s="645"/>
      <c r="DT114" s="645"/>
      <c r="DU114" s="645"/>
      <c r="DV114" s="645"/>
      <c r="DW114" s="645"/>
      <c r="DX114" s="645"/>
      <c r="DY114" s="645"/>
      <c r="DZ114" s="645"/>
    </row>
    <row r="115" spans="1:130">
      <c r="A115" s="645"/>
      <c r="B115" s="645"/>
      <c r="C115" s="645"/>
      <c r="D115" s="645"/>
      <c r="E115" s="645"/>
      <c r="F115" s="645"/>
      <c r="G115" s="645"/>
      <c r="H115" s="645"/>
      <c r="I115" s="645"/>
      <c r="J115" s="645"/>
      <c r="K115" s="645"/>
      <c r="L115" s="645"/>
      <c r="M115" s="645"/>
      <c r="N115" s="645"/>
      <c r="O115" s="645"/>
      <c r="P115" s="645"/>
      <c r="Q115" s="645"/>
      <c r="R115" s="645"/>
      <c r="S115" s="645"/>
      <c r="T115" s="645"/>
      <c r="U115" s="645"/>
      <c r="V115" s="645"/>
      <c r="W115" s="645"/>
      <c r="X115" s="645"/>
      <c r="Y115" s="645"/>
      <c r="Z115" s="645"/>
      <c r="AA115" s="645"/>
      <c r="AB115" s="645"/>
      <c r="AC115" s="645"/>
      <c r="AD115" s="645"/>
      <c r="AE115" s="645"/>
      <c r="AF115" s="645"/>
      <c r="AG115" s="645"/>
      <c r="AH115" s="645"/>
      <c r="AI115" s="645"/>
      <c r="AJ115" s="645"/>
      <c r="AK115" s="645"/>
      <c r="AL115" s="645"/>
      <c r="AM115" s="645"/>
      <c r="AN115" s="645"/>
      <c r="AO115" s="645"/>
      <c r="AP115" s="645"/>
      <c r="AQ115" s="645"/>
      <c r="AR115" s="645"/>
      <c r="AS115" s="645"/>
      <c r="AT115" s="645"/>
      <c r="AU115" s="645"/>
      <c r="AV115" s="645"/>
      <c r="AW115" s="645"/>
      <c r="AX115" s="645"/>
      <c r="AY115" s="645"/>
      <c r="AZ115" s="645"/>
      <c r="BA115" s="645"/>
      <c r="BB115" s="645"/>
      <c r="BC115" s="645"/>
      <c r="BD115" s="645"/>
      <c r="BE115" s="645"/>
      <c r="BF115" s="645"/>
      <c r="BG115" s="645"/>
      <c r="BH115" s="645"/>
      <c r="BI115" s="645"/>
      <c r="BJ115" s="645"/>
      <c r="BK115" s="645"/>
      <c r="BL115" s="645"/>
      <c r="BM115" s="645"/>
      <c r="BN115" s="645"/>
      <c r="BO115" s="645"/>
      <c r="BP115" s="645"/>
      <c r="BQ115" s="645"/>
      <c r="BR115" s="645"/>
      <c r="BS115" s="645"/>
      <c r="BT115" s="645"/>
      <c r="BU115" s="645"/>
      <c r="BV115" s="645"/>
      <c r="BW115" s="645"/>
      <c r="BX115" s="645"/>
      <c r="BY115" s="645"/>
      <c r="BZ115" s="645"/>
      <c r="CA115" s="645"/>
      <c r="CB115" s="645"/>
      <c r="CC115" s="645"/>
      <c r="CD115" s="645"/>
      <c r="CE115" s="645"/>
      <c r="CF115" s="645"/>
      <c r="CG115" s="645"/>
      <c r="CH115" s="645"/>
      <c r="CI115" s="645"/>
      <c r="CJ115" s="645"/>
      <c r="CK115" s="645"/>
      <c r="CL115" s="645"/>
      <c r="CM115" s="645"/>
      <c r="CN115" s="645"/>
      <c r="CO115" s="645"/>
      <c r="CP115" s="645"/>
      <c r="CQ115" s="645"/>
      <c r="CR115" s="645"/>
      <c r="CS115" s="645"/>
      <c r="CT115" s="645"/>
      <c r="CU115" s="645"/>
      <c r="CV115" s="645"/>
      <c r="CW115" s="645"/>
      <c r="CX115" s="645"/>
      <c r="CY115" s="645"/>
      <c r="CZ115" s="645"/>
      <c r="DA115" s="645"/>
      <c r="DB115" s="645"/>
      <c r="DC115" s="645"/>
      <c r="DD115" s="645"/>
      <c r="DE115" s="645"/>
      <c r="DF115" s="645"/>
      <c r="DG115" s="645"/>
      <c r="DH115" s="645"/>
      <c r="DI115" s="645"/>
      <c r="DJ115" s="645"/>
      <c r="DK115" s="645"/>
      <c r="DL115" s="645"/>
      <c r="DM115" s="645"/>
      <c r="DN115" s="645"/>
      <c r="DO115" s="645"/>
      <c r="DP115" s="645"/>
      <c r="DQ115" s="645"/>
      <c r="DR115" s="645"/>
      <c r="DS115" s="645"/>
      <c r="DT115" s="645"/>
      <c r="DU115" s="645"/>
      <c r="DV115" s="645"/>
      <c r="DW115" s="645"/>
      <c r="DX115" s="645"/>
      <c r="DY115" s="645"/>
      <c r="DZ115" s="645"/>
    </row>
    <row r="116" spans="1:130">
      <c r="A116" s="645"/>
      <c r="B116" s="645"/>
      <c r="C116" s="645"/>
      <c r="D116" s="645"/>
      <c r="E116" s="645"/>
      <c r="F116" s="645"/>
      <c r="G116" s="645"/>
      <c r="H116" s="645"/>
      <c r="I116" s="645"/>
      <c r="J116" s="645"/>
      <c r="K116" s="645"/>
      <c r="L116" s="645"/>
      <c r="M116" s="645"/>
      <c r="N116" s="645"/>
      <c r="O116" s="645"/>
      <c r="P116" s="645"/>
      <c r="Q116" s="645"/>
      <c r="R116" s="645"/>
      <c r="S116" s="645"/>
      <c r="T116" s="645"/>
      <c r="U116" s="645"/>
      <c r="V116" s="645"/>
      <c r="W116" s="645"/>
      <c r="X116" s="645"/>
      <c r="Y116" s="645"/>
      <c r="Z116" s="645"/>
      <c r="AA116" s="645"/>
      <c r="AB116" s="645"/>
      <c r="AC116" s="645"/>
      <c r="AD116" s="645"/>
      <c r="AE116" s="645"/>
      <c r="AF116" s="645"/>
      <c r="AG116" s="645"/>
      <c r="AH116" s="645"/>
      <c r="AI116" s="645"/>
      <c r="AJ116" s="645"/>
      <c r="AK116" s="645"/>
      <c r="AL116" s="645"/>
      <c r="AM116" s="645"/>
      <c r="AN116" s="645"/>
      <c r="AO116" s="645"/>
      <c r="AP116" s="645"/>
      <c r="AQ116" s="645"/>
      <c r="AR116" s="645"/>
      <c r="AS116" s="645"/>
      <c r="AT116" s="645"/>
      <c r="AU116" s="645"/>
      <c r="AV116" s="645"/>
      <c r="AW116" s="645"/>
      <c r="AX116" s="645"/>
      <c r="AY116" s="645"/>
      <c r="AZ116" s="645"/>
      <c r="BA116" s="645"/>
      <c r="BB116" s="645"/>
      <c r="BC116" s="645"/>
      <c r="BD116" s="645"/>
      <c r="BE116" s="645"/>
      <c r="BF116" s="645"/>
      <c r="BG116" s="645"/>
      <c r="BH116" s="645"/>
      <c r="BI116" s="645"/>
      <c r="BJ116" s="645"/>
      <c r="BK116" s="645"/>
      <c r="BL116" s="645"/>
      <c r="BM116" s="645"/>
      <c r="BN116" s="645"/>
      <c r="BO116" s="645"/>
      <c r="BP116" s="645"/>
      <c r="BQ116" s="645"/>
      <c r="BR116" s="645"/>
      <c r="BS116" s="645"/>
      <c r="BT116" s="645"/>
      <c r="BU116" s="645"/>
      <c r="BV116" s="645"/>
      <c r="BW116" s="645"/>
      <c r="BX116" s="645"/>
      <c r="BY116" s="645"/>
      <c r="BZ116" s="645"/>
      <c r="CA116" s="645"/>
      <c r="CB116" s="645"/>
      <c r="CC116" s="645"/>
      <c r="CD116" s="645"/>
      <c r="CE116" s="645"/>
      <c r="CF116" s="645"/>
      <c r="CG116" s="645"/>
      <c r="CH116" s="645"/>
      <c r="CI116" s="645"/>
      <c r="CJ116" s="645"/>
      <c r="CK116" s="645"/>
      <c r="CL116" s="645"/>
      <c r="CM116" s="645"/>
      <c r="CN116" s="645"/>
      <c r="CO116" s="645"/>
      <c r="CP116" s="645"/>
      <c r="CQ116" s="645"/>
      <c r="CR116" s="645"/>
      <c r="CS116" s="645"/>
      <c r="CT116" s="645"/>
      <c r="CU116" s="645"/>
      <c r="CV116" s="645"/>
      <c r="CW116" s="645"/>
      <c r="CX116" s="645"/>
      <c r="CY116" s="645"/>
      <c r="CZ116" s="645"/>
      <c r="DA116" s="645"/>
      <c r="DB116" s="645"/>
      <c r="DC116" s="645"/>
      <c r="DD116" s="645"/>
      <c r="DE116" s="645"/>
      <c r="DF116" s="645"/>
      <c r="DG116" s="645"/>
      <c r="DH116" s="645"/>
      <c r="DI116" s="645"/>
      <c r="DJ116" s="645"/>
      <c r="DK116" s="645"/>
      <c r="DL116" s="645"/>
      <c r="DM116" s="645"/>
      <c r="DN116" s="645"/>
      <c r="DO116" s="645"/>
      <c r="DP116" s="645"/>
      <c r="DQ116" s="645"/>
      <c r="DR116" s="645"/>
      <c r="DS116" s="645"/>
      <c r="DT116" s="645"/>
      <c r="DU116" s="645"/>
      <c r="DV116" s="645"/>
      <c r="DW116" s="645"/>
      <c r="DX116" s="645"/>
      <c r="DY116" s="645"/>
      <c r="DZ116" s="645"/>
    </row>
    <row r="117" spans="1:130">
      <c r="A117" s="645"/>
      <c r="B117" s="645"/>
      <c r="C117" s="645"/>
      <c r="D117" s="645"/>
      <c r="E117" s="645"/>
      <c r="F117" s="645"/>
      <c r="G117" s="645"/>
      <c r="H117" s="645"/>
      <c r="I117" s="645"/>
      <c r="J117" s="645"/>
      <c r="K117" s="645"/>
      <c r="L117" s="645"/>
      <c r="M117" s="645"/>
      <c r="N117" s="645"/>
      <c r="O117" s="645"/>
      <c r="P117" s="645"/>
      <c r="Q117" s="645"/>
      <c r="R117" s="645"/>
      <c r="S117" s="645"/>
      <c r="T117" s="645"/>
      <c r="U117" s="645"/>
      <c r="V117" s="645"/>
      <c r="W117" s="645"/>
      <c r="X117" s="645"/>
      <c r="Y117" s="645"/>
      <c r="Z117" s="645"/>
      <c r="AA117" s="645"/>
      <c r="AB117" s="645"/>
      <c r="AC117" s="645"/>
      <c r="AD117" s="645"/>
      <c r="AE117" s="645"/>
      <c r="AF117" s="645"/>
      <c r="AG117" s="645"/>
      <c r="AH117" s="645"/>
      <c r="AI117" s="645"/>
      <c r="AJ117" s="645"/>
      <c r="AK117" s="645"/>
      <c r="AL117" s="645"/>
      <c r="AM117" s="645"/>
      <c r="AN117" s="645"/>
      <c r="AO117" s="645"/>
      <c r="AP117" s="645"/>
      <c r="AQ117" s="645"/>
      <c r="AR117" s="645"/>
      <c r="AS117" s="645"/>
      <c r="AT117" s="645"/>
      <c r="AU117" s="645"/>
      <c r="AV117" s="645"/>
      <c r="AW117" s="645"/>
      <c r="AX117" s="645"/>
      <c r="AY117" s="645"/>
      <c r="AZ117" s="645"/>
      <c r="BA117" s="645"/>
      <c r="BB117" s="645"/>
      <c r="BC117" s="645"/>
      <c r="BD117" s="645"/>
      <c r="BE117" s="645"/>
      <c r="BF117" s="645"/>
      <c r="BG117" s="645"/>
      <c r="BH117" s="645"/>
      <c r="BI117" s="645"/>
      <c r="BJ117" s="645"/>
      <c r="BK117" s="645"/>
      <c r="BL117" s="645"/>
      <c r="BM117" s="645"/>
      <c r="BN117" s="645"/>
      <c r="BO117" s="645"/>
      <c r="BP117" s="645"/>
      <c r="BQ117" s="645"/>
      <c r="BR117" s="645"/>
      <c r="BS117" s="645"/>
      <c r="BT117" s="645"/>
      <c r="BU117" s="645"/>
      <c r="BV117" s="645"/>
      <c r="BW117" s="645"/>
      <c r="BX117" s="645"/>
      <c r="BY117" s="645"/>
      <c r="BZ117" s="645"/>
      <c r="CA117" s="645"/>
      <c r="CB117" s="645"/>
      <c r="CC117" s="645"/>
      <c r="CD117" s="645"/>
      <c r="CE117" s="645"/>
      <c r="CF117" s="645"/>
      <c r="CG117" s="645"/>
      <c r="CH117" s="645"/>
      <c r="CI117" s="645"/>
      <c r="CJ117" s="645"/>
      <c r="CK117" s="645"/>
      <c r="CL117" s="645"/>
      <c r="CM117" s="645"/>
      <c r="CN117" s="645"/>
      <c r="CO117" s="645"/>
      <c r="CP117" s="645"/>
      <c r="CQ117" s="645"/>
      <c r="CR117" s="645"/>
      <c r="CS117" s="645"/>
      <c r="CT117" s="645"/>
      <c r="CU117" s="645"/>
      <c r="CV117" s="645"/>
      <c r="CW117" s="645"/>
      <c r="CX117" s="645"/>
      <c r="CY117" s="645"/>
      <c r="CZ117" s="645"/>
      <c r="DA117" s="645"/>
      <c r="DB117" s="645"/>
      <c r="DC117" s="645"/>
      <c r="DD117" s="645"/>
      <c r="DE117" s="645"/>
      <c r="DF117" s="645"/>
      <c r="DG117" s="645"/>
      <c r="DH117" s="645"/>
      <c r="DI117" s="645"/>
      <c r="DJ117" s="645"/>
      <c r="DK117" s="645"/>
      <c r="DL117" s="645"/>
      <c r="DM117" s="645"/>
      <c r="DN117" s="645"/>
      <c r="DO117" s="645"/>
      <c r="DP117" s="645"/>
      <c r="DQ117" s="645"/>
      <c r="DR117" s="645"/>
      <c r="DS117" s="645"/>
      <c r="DT117" s="645"/>
      <c r="DU117" s="645"/>
      <c r="DV117" s="645"/>
      <c r="DW117" s="645"/>
      <c r="DX117" s="645"/>
      <c r="DY117" s="645"/>
      <c r="DZ117" s="645"/>
    </row>
    <row r="118" spans="1:130">
      <c r="A118" s="645"/>
      <c r="B118" s="645"/>
      <c r="C118" s="645"/>
      <c r="D118" s="645"/>
      <c r="E118" s="645"/>
      <c r="F118" s="645"/>
      <c r="G118" s="645"/>
      <c r="H118" s="645"/>
      <c r="I118" s="645"/>
      <c r="J118" s="645"/>
      <c r="K118" s="645"/>
      <c r="L118" s="645"/>
      <c r="M118" s="645"/>
      <c r="N118" s="645"/>
      <c r="O118" s="645"/>
      <c r="P118" s="645"/>
      <c r="Q118" s="645"/>
      <c r="R118" s="645"/>
      <c r="S118" s="645"/>
      <c r="T118" s="645"/>
      <c r="U118" s="645"/>
      <c r="V118" s="645"/>
      <c r="W118" s="645"/>
      <c r="X118" s="645"/>
      <c r="Y118" s="645"/>
      <c r="Z118" s="645"/>
      <c r="AA118" s="645"/>
      <c r="AB118" s="645"/>
      <c r="AC118" s="645"/>
      <c r="AD118" s="645"/>
      <c r="AE118" s="645"/>
      <c r="AF118" s="645"/>
      <c r="AG118" s="645"/>
      <c r="AH118" s="645"/>
      <c r="AI118" s="645"/>
      <c r="AJ118" s="645"/>
      <c r="AK118" s="645"/>
      <c r="AL118" s="645"/>
      <c r="AM118" s="645"/>
      <c r="AN118" s="645"/>
      <c r="AO118" s="645"/>
      <c r="AP118" s="645"/>
      <c r="AQ118" s="645"/>
      <c r="AR118" s="645"/>
      <c r="AS118" s="645"/>
      <c r="AT118" s="645"/>
      <c r="AU118" s="645"/>
      <c r="AV118" s="645"/>
      <c r="AW118" s="645"/>
      <c r="AX118" s="645"/>
      <c r="AY118" s="645"/>
      <c r="AZ118" s="645"/>
      <c r="BA118" s="645"/>
      <c r="BB118" s="645"/>
      <c r="BC118" s="645"/>
      <c r="BD118" s="645"/>
      <c r="BE118" s="645"/>
      <c r="BF118" s="645"/>
      <c r="BG118" s="645"/>
      <c r="BH118" s="645"/>
      <c r="BI118" s="645"/>
      <c r="BJ118" s="645"/>
      <c r="BK118" s="645"/>
      <c r="BL118" s="645"/>
      <c r="BM118" s="645"/>
      <c r="BN118" s="645"/>
      <c r="BO118" s="645"/>
      <c r="BP118" s="645"/>
      <c r="BQ118" s="645"/>
      <c r="BR118" s="645"/>
      <c r="BS118" s="645"/>
      <c r="BT118" s="645"/>
      <c r="BU118" s="645"/>
      <c r="BV118" s="645"/>
      <c r="BW118" s="645"/>
      <c r="BX118" s="645"/>
      <c r="BY118" s="645"/>
      <c r="BZ118" s="645"/>
      <c r="CA118" s="645"/>
      <c r="CB118" s="645"/>
      <c r="CC118" s="645"/>
      <c r="CD118" s="645"/>
      <c r="CE118" s="645"/>
      <c r="CF118" s="645"/>
      <c r="CG118" s="645"/>
      <c r="CH118" s="645"/>
      <c r="CI118" s="645"/>
      <c r="CJ118" s="645"/>
      <c r="CK118" s="645"/>
      <c r="CL118" s="645"/>
      <c r="CM118" s="645"/>
      <c r="CN118" s="645"/>
      <c r="CO118" s="645"/>
      <c r="CP118" s="645"/>
      <c r="CQ118" s="645"/>
      <c r="CR118" s="645"/>
      <c r="CS118" s="645"/>
      <c r="CT118" s="645"/>
      <c r="CU118" s="645"/>
      <c r="CV118" s="645"/>
      <c r="CW118" s="645"/>
      <c r="CX118" s="645"/>
      <c r="CY118" s="645"/>
      <c r="CZ118" s="645"/>
      <c r="DA118" s="645"/>
      <c r="DB118" s="645"/>
      <c r="DC118" s="645"/>
      <c r="DD118" s="645"/>
      <c r="DE118" s="645"/>
      <c r="DF118" s="645"/>
      <c r="DG118" s="645"/>
      <c r="DH118" s="645"/>
      <c r="DI118" s="645"/>
      <c r="DJ118" s="645"/>
      <c r="DK118" s="645"/>
      <c r="DL118" s="645"/>
      <c r="DM118" s="645"/>
      <c r="DN118" s="645"/>
      <c r="DO118" s="645"/>
      <c r="DP118" s="645"/>
      <c r="DQ118" s="645"/>
      <c r="DR118" s="645"/>
      <c r="DS118" s="645"/>
      <c r="DT118" s="645"/>
      <c r="DU118" s="645"/>
      <c r="DV118" s="645"/>
      <c r="DW118" s="645"/>
      <c r="DX118" s="645"/>
      <c r="DY118" s="645"/>
      <c r="DZ118" s="645"/>
    </row>
    <row r="119" spans="1:130">
      <c r="A119" s="645"/>
      <c r="B119" s="645"/>
      <c r="C119" s="645"/>
      <c r="D119" s="645"/>
      <c r="E119" s="645"/>
      <c r="F119" s="645"/>
      <c r="G119" s="645"/>
      <c r="H119" s="645"/>
      <c r="I119" s="645"/>
      <c r="J119" s="645"/>
      <c r="K119" s="645"/>
      <c r="L119" s="645"/>
      <c r="M119" s="645"/>
      <c r="N119" s="645"/>
      <c r="O119" s="645"/>
      <c r="P119" s="645"/>
      <c r="Q119" s="645"/>
      <c r="R119" s="645"/>
      <c r="S119" s="645"/>
      <c r="T119" s="645"/>
      <c r="U119" s="645"/>
      <c r="V119" s="645"/>
      <c r="W119" s="645"/>
      <c r="X119" s="645"/>
      <c r="Y119" s="645"/>
      <c r="Z119" s="645"/>
      <c r="AA119" s="645"/>
      <c r="AB119" s="645"/>
      <c r="AC119" s="645"/>
      <c r="AD119" s="645"/>
      <c r="AE119" s="645"/>
      <c r="AF119" s="645"/>
      <c r="AG119" s="645"/>
      <c r="AH119" s="645"/>
      <c r="AI119" s="645"/>
      <c r="AJ119" s="645"/>
      <c r="AK119" s="645"/>
      <c r="AL119" s="645"/>
      <c r="AM119" s="645"/>
      <c r="AN119" s="645"/>
      <c r="AO119" s="645"/>
      <c r="AP119" s="645"/>
      <c r="AQ119" s="645"/>
      <c r="AR119" s="645"/>
      <c r="AS119" s="645"/>
      <c r="AT119" s="645"/>
      <c r="AU119" s="645"/>
      <c r="AV119" s="645"/>
      <c r="AW119" s="645"/>
      <c r="AX119" s="645"/>
      <c r="AY119" s="645"/>
      <c r="AZ119" s="645"/>
      <c r="BA119" s="645"/>
      <c r="BB119" s="645"/>
      <c r="BC119" s="645"/>
      <c r="BD119" s="645"/>
      <c r="BE119" s="645"/>
      <c r="BF119" s="645"/>
      <c r="BG119" s="645"/>
      <c r="BH119" s="645"/>
      <c r="BI119" s="645"/>
      <c r="BJ119" s="645"/>
      <c r="BK119" s="645"/>
      <c r="BL119" s="645"/>
      <c r="BM119" s="645"/>
      <c r="BN119" s="645"/>
      <c r="BO119" s="645"/>
      <c r="BP119" s="645"/>
      <c r="BQ119" s="645"/>
      <c r="BR119" s="645"/>
      <c r="BS119" s="645"/>
      <c r="BT119" s="645"/>
      <c r="BU119" s="645"/>
      <c r="BV119" s="645"/>
      <c r="BW119" s="645"/>
      <c r="BX119" s="645"/>
      <c r="BY119" s="645"/>
      <c r="BZ119" s="645"/>
      <c r="CA119" s="645"/>
      <c r="CB119" s="645"/>
      <c r="CC119" s="645"/>
      <c r="CD119" s="645"/>
      <c r="CE119" s="645"/>
      <c r="CF119" s="645"/>
      <c r="CG119" s="645"/>
      <c r="CH119" s="645"/>
      <c r="CI119" s="645"/>
      <c r="CJ119" s="645"/>
      <c r="CK119" s="645"/>
      <c r="CL119" s="645"/>
      <c r="CM119" s="645"/>
      <c r="CN119" s="645"/>
      <c r="CO119" s="645"/>
      <c r="CP119" s="645"/>
      <c r="CQ119" s="645"/>
      <c r="CR119" s="645"/>
      <c r="CS119" s="645"/>
      <c r="CT119" s="645"/>
      <c r="CU119" s="645"/>
      <c r="CV119" s="645"/>
      <c r="CW119" s="645"/>
      <c r="CX119" s="645"/>
      <c r="CY119" s="645"/>
      <c r="CZ119" s="645"/>
      <c r="DA119" s="645"/>
      <c r="DB119" s="645"/>
      <c r="DC119" s="645"/>
      <c r="DD119" s="645"/>
      <c r="DE119" s="645"/>
      <c r="DF119" s="645"/>
      <c r="DG119" s="645"/>
      <c r="DH119" s="645"/>
      <c r="DI119" s="645"/>
      <c r="DJ119" s="645"/>
      <c r="DK119" s="645"/>
      <c r="DL119" s="645"/>
      <c r="DM119" s="645"/>
      <c r="DN119" s="645"/>
      <c r="DO119" s="645"/>
      <c r="DP119" s="645"/>
      <c r="DQ119" s="645"/>
      <c r="DR119" s="645"/>
      <c r="DS119" s="645"/>
      <c r="DT119" s="645"/>
      <c r="DU119" s="645"/>
      <c r="DV119" s="645"/>
      <c r="DW119" s="645"/>
      <c r="DX119" s="645"/>
      <c r="DY119" s="645"/>
      <c r="DZ119" s="645"/>
    </row>
    <row r="120" spans="1:130">
      <c r="A120" s="645"/>
      <c r="B120" s="645"/>
      <c r="C120" s="645"/>
      <c r="D120" s="645"/>
      <c r="E120" s="645"/>
      <c r="F120" s="645"/>
      <c r="G120" s="645"/>
      <c r="H120" s="645"/>
      <c r="I120" s="645"/>
      <c r="J120" s="645"/>
      <c r="K120" s="645"/>
      <c r="L120" s="645"/>
      <c r="M120" s="645"/>
      <c r="N120" s="645"/>
      <c r="O120" s="645"/>
      <c r="P120" s="645"/>
      <c r="Q120" s="645"/>
      <c r="R120" s="645"/>
      <c r="S120" s="645"/>
      <c r="T120" s="645"/>
      <c r="U120" s="645"/>
      <c r="V120" s="645"/>
      <c r="W120" s="645"/>
      <c r="X120" s="645"/>
      <c r="Y120" s="645"/>
      <c r="Z120" s="645"/>
      <c r="AA120" s="645"/>
      <c r="AB120" s="645"/>
      <c r="AC120" s="645"/>
      <c r="AD120" s="645"/>
      <c r="AE120" s="645"/>
      <c r="AF120" s="645"/>
      <c r="AG120" s="645"/>
      <c r="AH120" s="645"/>
      <c r="AI120" s="645"/>
      <c r="AJ120" s="645"/>
      <c r="AK120" s="645"/>
      <c r="AL120" s="645"/>
      <c r="AM120" s="645"/>
      <c r="AN120" s="645"/>
      <c r="AO120" s="645"/>
      <c r="AP120" s="645"/>
      <c r="AQ120" s="645"/>
      <c r="AR120" s="645"/>
      <c r="AS120" s="645"/>
      <c r="AT120" s="645"/>
      <c r="AU120" s="645"/>
      <c r="AV120" s="645"/>
      <c r="AW120" s="645"/>
      <c r="AX120" s="645"/>
      <c r="AY120" s="645"/>
      <c r="AZ120" s="645"/>
      <c r="BA120" s="645"/>
      <c r="BB120" s="645"/>
      <c r="BC120" s="645"/>
      <c r="BD120" s="645"/>
      <c r="BE120" s="645"/>
      <c r="BF120" s="645"/>
      <c r="BG120" s="645"/>
      <c r="BH120" s="645"/>
      <c r="BI120" s="645"/>
      <c r="BJ120" s="645"/>
      <c r="BK120" s="645"/>
      <c r="BL120" s="645"/>
      <c r="BM120" s="645"/>
      <c r="BN120" s="645"/>
      <c r="BO120" s="645"/>
      <c r="BP120" s="645"/>
      <c r="BQ120" s="645"/>
      <c r="BR120" s="645"/>
      <c r="BS120" s="645"/>
      <c r="BT120" s="645"/>
      <c r="BU120" s="645"/>
      <c r="BV120" s="645"/>
      <c r="BW120" s="645"/>
      <c r="BX120" s="645"/>
      <c r="BY120" s="645"/>
      <c r="BZ120" s="645"/>
      <c r="CA120" s="645"/>
      <c r="CB120" s="645"/>
      <c r="CC120" s="645"/>
      <c r="CD120" s="645"/>
      <c r="CE120" s="645"/>
      <c r="CF120" s="645"/>
      <c r="CG120" s="645"/>
      <c r="CH120" s="645"/>
      <c r="CI120" s="645"/>
      <c r="CJ120" s="645"/>
      <c r="CK120" s="645"/>
      <c r="CL120" s="645"/>
      <c r="CM120" s="645"/>
      <c r="CN120" s="645"/>
      <c r="CO120" s="645"/>
      <c r="CP120" s="645"/>
      <c r="CQ120" s="645"/>
      <c r="CR120" s="645"/>
      <c r="CS120" s="645"/>
      <c r="CT120" s="645"/>
      <c r="CU120" s="645"/>
      <c r="CV120" s="645"/>
      <c r="CW120" s="645"/>
      <c r="CX120" s="645"/>
      <c r="CY120" s="645"/>
      <c r="CZ120" s="645"/>
      <c r="DA120" s="645"/>
      <c r="DB120" s="645"/>
      <c r="DC120" s="645"/>
      <c r="DD120" s="645"/>
      <c r="DE120" s="645"/>
      <c r="DF120" s="645"/>
      <c r="DG120" s="645"/>
      <c r="DH120" s="645"/>
      <c r="DI120" s="645"/>
      <c r="DJ120" s="645"/>
      <c r="DK120" s="645"/>
      <c r="DL120" s="645"/>
      <c r="DM120" s="645"/>
      <c r="DN120" s="645"/>
      <c r="DO120" s="645"/>
      <c r="DP120" s="645"/>
      <c r="DQ120" s="645"/>
      <c r="DR120" s="645"/>
      <c r="DS120" s="645"/>
      <c r="DT120" s="645"/>
      <c r="DU120" s="645"/>
      <c r="DV120" s="645"/>
      <c r="DW120" s="645"/>
      <c r="DX120" s="645"/>
      <c r="DY120" s="645"/>
      <c r="DZ120" s="645"/>
    </row>
    <row r="121" spans="1:130">
      <c r="A121" s="645"/>
      <c r="B121" s="645"/>
      <c r="C121" s="645"/>
      <c r="D121" s="645"/>
      <c r="E121" s="645"/>
      <c r="F121" s="645"/>
      <c r="G121" s="645"/>
      <c r="H121" s="645"/>
      <c r="I121" s="645"/>
      <c r="J121" s="645"/>
      <c r="K121" s="645"/>
      <c r="L121" s="645"/>
      <c r="M121" s="645"/>
      <c r="N121" s="645"/>
      <c r="O121" s="645"/>
      <c r="P121" s="645"/>
      <c r="Q121" s="645"/>
      <c r="R121" s="645"/>
      <c r="S121" s="645"/>
      <c r="T121" s="645"/>
      <c r="U121" s="645"/>
      <c r="V121" s="645"/>
      <c r="W121" s="645"/>
      <c r="X121" s="645"/>
      <c r="Y121" s="645"/>
      <c r="Z121" s="645"/>
      <c r="AA121" s="645"/>
      <c r="AB121" s="645"/>
      <c r="AC121" s="645"/>
      <c r="AD121" s="645"/>
      <c r="AE121" s="645"/>
      <c r="AF121" s="645"/>
      <c r="AG121" s="645"/>
      <c r="AH121" s="645"/>
      <c r="AI121" s="645"/>
      <c r="AJ121" s="645"/>
      <c r="AK121" s="645"/>
      <c r="AL121" s="645"/>
      <c r="AM121" s="645"/>
      <c r="AN121" s="645"/>
      <c r="AO121" s="645"/>
      <c r="AP121" s="645"/>
      <c r="AQ121" s="645"/>
      <c r="AR121" s="645"/>
      <c r="AS121" s="645"/>
      <c r="AT121" s="645"/>
      <c r="AU121" s="645"/>
      <c r="AV121" s="645"/>
      <c r="AW121" s="645"/>
      <c r="AX121" s="645"/>
      <c r="AY121" s="645"/>
      <c r="AZ121" s="645"/>
      <c r="BA121" s="645"/>
      <c r="BB121" s="645"/>
      <c r="BC121" s="645"/>
      <c r="BD121" s="645"/>
      <c r="BE121" s="645"/>
      <c r="BF121" s="645"/>
      <c r="BG121" s="645"/>
      <c r="BH121" s="645"/>
      <c r="BI121" s="645"/>
      <c r="BJ121" s="645"/>
      <c r="BK121" s="645"/>
      <c r="BL121" s="645"/>
      <c r="BM121" s="645"/>
      <c r="BN121" s="645"/>
      <c r="BO121" s="645"/>
      <c r="BP121" s="645"/>
      <c r="BQ121" s="645"/>
      <c r="BR121" s="645"/>
      <c r="BS121" s="645"/>
      <c r="BT121" s="645"/>
      <c r="BU121" s="645"/>
      <c r="BV121" s="645"/>
      <c r="BW121" s="645"/>
      <c r="BX121" s="645"/>
      <c r="BY121" s="645"/>
      <c r="BZ121" s="645"/>
      <c r="CA121" s="645"/>
      <c r="CB121" s="645"/>
      <c r="CC121" s="645"/>
      <c r="CD121" s="645"/>
      <c r="CE121" s="645"/>
      <c r="CF121" s="645"/>
      <c r="CG121" s="645"/>
      <c r="CH121" s="645"/>
      <c r="CI121" s="645"/>
      <c r="CJ121" s="645"/>
      <c r="CK121" s="645"/>
      <c r="CL121" s="645"/>
      <c r="CM121" s="645"/>
      <c r="CN121" s="645"/>
      <c r="CO121" s="645"/>
      <c r="CP121" s="645"/>
      <c r="CQ121" s="645"/>
      <c r="CR121" s="645"/>
      <c r="CS121" s="645"/>
      <c r="CT121" s="645"/>
      <c r="CU121" s="645"/>
      <c r="CV121" s="645"/>
      <c r="CW121" s="645"/>
      <c r="CX121" s="645"/>
      <c r="CY121" s="645"/>
      <c r="CZ121" s="645"/>
      <c r="DA121" s="645"/>
      <c r="DB121" s="645"/>
      <c r="DC121" s="645"/>
      <c r="DD121" s="645"/>
      <c r="DE121" s="645"/>
      <c r="DF121" s="645"/>
      <c r="DG121" s="645"/>
      <c r="DH121" s="645"/>
      <c r="DI121" s="645"/>
      <c r="DJ121" s="645"/>
      <c r="DK121" s="645"/>
      <c r="DL121" s="645"/>
      <c r="DM121" s="645"/>
      <c r="DN121" s="645"/>
      <c r="DO121" s="645"/>
      <c r="DP121" s="645"/>
      <c r="DQ121" s="645"/>
      <c r="DR121" s="645"/>
      <c r="DS121" s="645"/>
      <c r="DT121" s="645"/>
      <c r="DU121" s="645"/>
      <c r="DV121" s="645"/>
      <c r="DW121" s="645"/>
      <c r="DX121" s="645"/>
      <c r="DY121" s="645"/>
      <c r="DZ121" s="645"/>
    </row>
    <row r="122" spans="1:130">
      <c r="A122" s="645"/>
      <c r="B122" s="645"/>
      <c r="C122" s="645"/>
      <c r="D122" s="645"/>
      <c r="E122" s="645"/>
      <c r="F122" s="645"/>
      <c r="G122" s="645"/>
      <c r="H122" s="645"/>
      <c r="I122" s="645"/>
      <c r="J122" s="645"/>
      <c r="K122" s="645"/>
      <c r="L122" s="645"/>
      <c r="M122" s="645"/>
      <c r="N122" s="645"/>
      <c r="O122" s="645"/>
      <c r="P122" s="645"/>
      <c r="Q122" s="645"/>
      <c r="R122" s="645"/>
      <c r="S122" s="645"/>
      <c r="T122" s="645"/>
      <c r="U122" s="645"/>
      <c r="V122" s="645"/>
      <c r="W122" s="645"/>
      <c r="X122" s="645"/>
      <c r="Y122" s="645"/>
      <c r="Z122" s="645"/>
      <c r="AA122" s="645"/>
      <c r="AB122" s="645"/>
      <c r="AC122" s="645"/>
      <c r="AD122" s="645"/>
      <c r="AE122" s="645"/>
      <c r="AF122" s="645"/>
      <c r="AG122" s="645"/>
      <c r="AH122" s="645"/>
      <c r="AI122" s="645"/>
      <c r="AJ122" s="645"/>
      <c r="AK122" s="645"/>
      <c r="AL122" s="645"/>
      <c r="AM122" s="645"/>
      <c r="AN122" s="645"/>
      <c r="AO122" s="645"/>
      <c r="AP122" s="645"/>
      <c r="AQ122" s="645"/>
      <c r="AR122" s="645"/>
      <c r="AS122" s="645"/>
      <c r="AT122" s="645"/>
      <c r="AU122" s="645"/>
      <c r="AV122" s="645"/>
      <c r="AW122" s="645"/>
      <c r="AX122" s="645"/>
      <c r="AY122" s="645"/>
      <c r="AZ122" s="645"/>
      <c r="BA122" s="645"/>
      <c r="BB122" s="645"/>
      <c r="BC122" s="645"/>
      <c r="BD122" s="645"/>
      <c r="BE122" s="645"/>
      <c r="BF122" s="645"/>
      <c r="BG122" s="645"/>
      <c r="BH122" s="645"/>
      <c r="BI122" s="645"/>
      <c r="BJ122" s="645"/>
      <c r="BK122" s="645"/>
      <c r="BL122" s="645"/>
      <c r="BM122" s="645"/>
      <c r="BN122" s="645"/>
      <c r="BO122" s="645"/>
      <c r="BP122" s="645"/>
      <c r="BQ122" s="645"/>
      <c r="BR122" s="645"/>
      <c r="BS122" s="645"/>
      <c r="BT122" s="645"/>
      <c r="BU122" s="645"/>
      <c r="BV122" s="645"/>
      <c r="BW122" s="645"/>
      <c r="BX122" s="645"/>
      <c r="BY122" s="645"/>
      <c r="BZ122" s="645"/>
      <c r="CA122" s="645"/>
      <c r="CB122" s="645"/>
      <c r="CC122" s="645"/>
      <c r="CD122" s="645"/>
      <c r="CE122" s="645"/>
      <c r="CF122" s="645"/>
      <c r="CG122" s="645"/>
      <c r="CH122" s="645"/>
      <c r="CI122" s="645"/>
      <c r="CJ122" s="645"/>
      <c r="CK122" s="645"/>
      <c r="CL122" s="645"/>
      <c r="CM122" s="645"/>
      <c r="CN122" s="645"/>
      <c r="CO122" s="645"/>
      <c r="CP122" s="645"/>
      <c r="CQ122" s="645"/>
      <c r="CR122" s="645"/>
      <c r="CS122" s="645"/>
      <c r="CT122" s="645"/>
      <c r="CU122" s="645"/>
      <c r="CV122" s="645"/>
      <c r="CW122" s="645"/>
      <c r="CX122" s="645"/>
      <c r="CY122" s="645"/>
      <c r="CZ122" s="645"/>
      <c r="DA122" s="645"/>
      <c r="DB122" s="645"/>
      <c r="DC122" s="645"/>
      <c r="DD122" s="645"/>
      <c r="DE122" s="645"/>
      <c r="DF122" s="645"/>
      <c r="DG122" s="645"/>
      <c r="DH122" s="645"/>
      <c r="DI122" s="645"/>
      <c r="DJ122" s="645"/>
      <c r="DK122" s="645"/>
      <c r="DL122" s="645"/>
      <c r="DM122" s="645"/>
      <c r="DN122" s="645"/>
      <c r="DO122" s="645"/>
      <c r="DP122" s="645"/>
      <c r="DQ122" s="645"/>
      <c r="DR122" s="645"/>
      <c r="DS122" s="645"/>
      <c r="DT122" s="645"/>
      <c r="DU122" s="645"/>
      <c r="DV122" s="645"/>
      <c r="DW122" s="645"/>
      <c r="DX122" s="645"/>
      <c r="DY122" s="645"/>
      <c r="DZ122" s="645"/>
    </row>
    <row r="123" spans="1:130">
      <c r="A123" s="645"/>
      <c r="B123" s="645"/>
      <c r="C123" s="645"/>
      <c r="D123" s="645"/>
      <c r="E123" s="645"/>
      <c r="F123" s="645"/>
      <c r="G123" s="645"/>
      <c r="H123" s="645"/>
      <c r="I123" s="645"/>
      <c r="J123" s="645"/>
      <c r="K123" s="645"/>
      <c r="L123" s="645"/>
      <c r="M123" s="645"/>
      <c r="N123" s="645"/>
      <c r="O123" s="645"/>
      <c r="P123" s="645"/>
      <c r="Q123" s="645"/>
      <c r="R123" s="645"/>
      <c r="S123" s="645"/>
      <c r="T123" s="645"/>
      <c r="U123" s="645"/>
      <c r="V123" s="645"/>
      <c r="W123" s="645"/>
      <c r="X123" s="645"/>
      <c r="Y123" s="645"/>
      <c r="Z123" s="645"/>
      <c r="AA123" s="645"/>
      <c r="AB123" s="645"/>
      <c r="AC123" s="645"/>
      <c r="AD123" s="645"/>
      <c r="AE123" s="645"/>
      <c r="AF123" s="645"/>
      <c r="AG123" s="645"/>
      <c r="AH123" s="645"/>
      <c r="AI123" s="645"/>
      <c r="AJ123" s="645"/>
      <c r="AK123" s="645"/>
      <c r="AL123" s="645"/>
      <c r="AM123" s="645"/>
      <c r="AN123" s="645"/>
      <c r="AO123" s="645"/>
      <c r="AP123" s="645"/>
      <c r="AQ123" s="645"/>
      <c r="AR123" s="645"/>
      <c r="AS123" s="645"/>
      <c r="AT123" s="645"/>
      <c r="AU123" s="645"/>
      <c r="AV123" s="645"/>
      <c r="AW123" s="645"/>
      <c r="AX123" s="645"/>
      <c r="AY123" s="645"/>
      <c r="AZ123" s="645"/>
      <c r="BA123" s="645"/>
      <c r="BB123" s="645"/>
      <c r="BC123" s="645"/>
      <c r="BD123" s="645"/>
      <c r="BE123" s="645"/>
      <c r="BF123" s="645"/>
      <c r="BG123" s="645"/>
      <c r="BH123" s="645"/>
      <c r="BI123" s="645"/>
      <c r="BJ123" s="645"/>
      <c r="BK123" s="645"/>
      <c r="BL123" s="645"/>
      <c r="BM123" s="645"/>
      <c r="BN123" s="645"/>
      <c r="BO123" s="645"/>
      <c r="BP123" s="645"/>
      <c r="BQ123" s="645"/>
      <c r="BR123" s="645"/>
      <c r="BS123" s="645"/>
      <c r="BT123" s="645"/>
      <c r="BU123" s="645"/>
      <c r="BV123" s="645"/>
      <c r="BW123" s="645"/>
      <c r="BX123" s="645"/>
      <c r="BY123" s="645"/>
      <c r="BZ123" s="645"/>
      <c r="CA123" s="645"/>
      <c r="CB123" s="645"/>
      <c r="CC123" s="645"/>
      <c r="CD123" s="645"/>
      <c r="CE123" s="645"/>
      <c r="CF123" s="645"/>
      <c r="CG123" s="645"/>
      <c r="CH123" s="645"/>
      <c r="CI123" s="645"/>
      <c r="CJ123" s="645"/>
      <c r="CK123" s="645"/>
      <c r="CL123" s="645"/>
      <c r="CM123" s="645"/>
      <c r="CN123" s="645"/>
      <c r="CO123" s="645"/>
      <c r="CP123" s="645"/>
      <c r="CQ123" s="645"/>
      <c r="CR123" s="645"/>
      <c r="CS123" s="645"/>
      <c r="CT123" s="645"/>
      <c r="CU123" s="645"/>
      <c r="CV123" s="645"/>
      <c r="CW123" s="645"/>
      <c r="CX123" s="645"/>
      <c r="CY123" s="645"/>
      <c r="CZ123" s="645"/>
      <c r="DA123" s="645"/>
      <c r="DB123" s="645"/>
      <c r="DC123" s="645"/>
      <c r="DD123" s="645"/>
      <c r="DE123" s="645"/>
      <c r="DF123" s="645"/>
      <c r="DG123" s="645"/>
      <c r="DH123" s="645"/>
      <c r="DI123" s="645"/>
      <c r="DJ123" s="645"/>
      <c r="DK123" s="645"/>
      <c r="DL123" s="645"/>
      <c r="DM123" s="645"/>
      <c r="DN123" s="645"/>
      <c r="DO123" s="645"/>
      <c r="DP123" s="645"/>
      <c r="DQ123" s="645"/>
      <c r="DR123" s="645"/>
      <c r="DS123" s="645"/>
      <c r="DT123" s="645"/>
      <c r="DU123" s="645"/>
      <c r="DV123" s="645"/>
      <c r="DW123" s="645"/>
      <c r="DX123" s="645"/>
      <c r="DY123" s="645"/>
      <c r="DZ123" s="645"/>
    </row>
    <row r="124" spans="1:130">
      <c r="A124" s="645"/>
      <c r="B124" s="645"/>
      <c r="C124" s="645"/>
      <c r="D124" s="645"/>
      <c r="E124" s="645"/>
      <c r="F124" s="645"/>
      <c r="G124" s="645"/>
      <c r="H124" s="645"/>
      <c r="I124" s="645"/>
      <c r="J124" s="645"/>
      <c r="K124" s="645"/>
      <c r="L124" s="645"/>
      <c r="M124" s="645"/>
      <c r="N124" s="645"/>
      <c r="O124" s="645"/>
      <c r="P124" s="645"/>
      <c r="Q124" s="645"/>
      <c r="R124" s="645"/>
      <c r="S124" s="645"/>
      <c r="T124" s="645"/>
      <c r="U124" s="645"/>
      <c r="V124" s="645"/>
      <c r="W124" s="645"/>
      <c r="X124" s="645"/>
      <c r="Y124" s="645"/>
      <c r="Z124" s="645"/>
      <c r="AA124" s="645"/>
      <c r="AB124" s="645"/>
      <c r="AC124" s="645"/>
      <c r="AD124" s="645"/>
      <c r="AE124" s="645"/>
      <c r="AF124" s="645"/>
      <c r="AG124" s="645"/>
      <c r="AH124" s="645"/>
      <c r="AI124" s="645"/>
      <c r="AJ124" s="645"/>
      <c r="AK124" s="645"/>
      <c r="AL124" s="645"/>
      <c r="AM124" s="645"/>
      <c r="AN124" s="645"/>
      <c r="AO124" s="645"/>
      <c r="AP124" s="645"/>
      <c r="AQ124" s="645"/>
      <c r="AR124" s="645"/>
      <c r="AS124" s="645"/>
      <c r="AT124" s="645"/>
      <c r="AU124" s="645"/>
      <c r="AV124" s="645"/>
      <c r="AW124" s="645"/>
      <c r="AX124" s="645"/>
      <c r="AY124" s="645"/>
      <c r="AZ124" s="645"/>
      <c r="BA124" s="645"/>
      <c r="BB124" s="645"/>
      <c r="BC124" s="645"/>
      <c r="BD124" s="645"/>
      <c r="BE124" s="645"/>
      <c r="BF124" s="645"/>
      <c r="BG124" s="645"/>
      <c r="BH124" s="645"/>
      <c r="BI124" s="645"/>
      <c r="BJ124" s="645"/>
      <c r="BK124" s="645"/>
      <c r="BL124" s="645"/>
      <c r="BM124" s="645"/>
      <c r="BN124" s="645"/>
      <c r="BO124" s="645"/>
      <c r="BP124" s="645"/>
      <c r="BQ124" s="645"/>
      <c r="BR124" s="645"/>
      <c r="BS124" s="645"/>
      <c r="BT124" s="645"/>
      <c r="BU124" s="645"/>
      <c r="BV124" s="645"/>
      <c r="BW124" s="645"/>
      <c r="BX124" s="645"/>
      <c r="BY124" s="645"/>
      <c r="BZ124" s="645"/>
      <c r="CA124" s="645"/>
      <c r="CB124" s="645"/>
      <c r="CC124" s="645"/>
      <c r="CD124" s="645"/>
      <c r="CE124" s="645"/>
      <c r="CF124" s="645"/>
      <c r="CG124" s="645"/>
      <c r="CH124" s="645"/>
      <c r="CI124" s="645"/>
      <c r="CJ124" s="645"/>
      <c r="CK124" s="645"/>
      <c r="CL124" s="645"/>
      <c r="CM124" s="645"/>
      <c r="CN124" s="645"/>
      <c r="CO124" s="645"/>
      <c r="CP124" s="645"/>
      <c r="CQ124" s="645"/>
      <c r="CR124" s="645"/>
      <c r="CS124" s="645"/>
      <c r="CT124" s="645"/>
      <c r="CU124" s="645"/>
      <c r="CV124" s="645"/>
      <c r="CW124" s="645"/>
      <c r="CX124" s="645"/>
      <c r="CY124" s="645"/>
      <c r="CZ124" s="645"/>
      <c r="DA124" s="645"/>
      <c r="DB124" s="645"/>
      <c r="DC124" s="645"/>
      <c r="DD124" s="645"/>
      <c r="DE124" s="645"/>
      <c r="DF124" s="645"/>
      <c r="DG124" s="645"/>
      <c r="DH124" s="645"/>
      <c r="DI124" s="645"/>
      <c r="DJ124" s="645"/>
      <c r="DK124" s="645"/>
      <c r="DL124" s="645"/>
      <c r="DM124" s="645"/>
      <c r="DN124" s="645"/>
      <c r="DO124" s="645"/>
      <c r="DP124" s="645"/>
      <c r="DQ124" s="645"/>
      <c r="DR124" s="645"/>
      <c r="DS124" s="645"/>
      <c r="DT124" s="645"/>
      <c r="DU124" s="645"/>
      <c r="DV124" s="645"/>
      <c r="DW124" s="645"/>
      <c r="DX124" s="645"/>
      <c r="DY124" s="645"/>
      <c r="DZ124" s="645"/>
    </row>
    <row r="125" spans="1:130">
      <c r="A125" s="645"/>
      <c r="B125" s="645"/>
      <c r="C125" s="645"/>
      <c r="D125" s="645"/>
      <c r="E125" s="645"/>
      <c r="F125" s="645"/>
      <c r="G125" s="645"/>
      <c r="H125" s="645"/>
      <c r="I125" s="645"/>
      <c r="J125" s="645"/>
      <c r="K125" s="645"/>
      <c r="L125" s="645"/>
      <c r="M125" s="645"/>
      <c r="N125" s="645"/>
      <c r="O125" s="645"/>
      <c r="P125" s="645"/>
      <c r="Q125" s="645"/>
      <c r="R125" s="645"/>
      <c r="S125" s="645"/>
      <c r="T125" s="645"/>
      <c r="U125" s="645"/>
      <c r="V125" s="645"/>
      <c r="W125" s="645"/>
      <c r="X125" s="645"/>
      <c r="Y125" s="645"/>
      <c r="Z125" s="645"/>
      <c r="AA125" s="645"/>
      <c r="AB125" s="645"/>
      <c r="AC125" s="645"/>
      <c r="AD125" s="645"/>
      <c r="AE125" s="645"/>
      <c r="AF125" s="645"/>
      <c r="AG125" s="645"/>
      <c r="AH125" s="645"/>
      <c r="AI125" s="645"/>
      <c r="AJ125" s="645"/>
      <c r="AK125" s="645"/>
      <c r="AL125" s="645"/>
      <c r="AM125" s="645"/>
      <c r="AN125" s="645"/>
      <c r="AO125" s="645"/>
      <c r="AP125" s="645"/>
      <c r="AQ125" s="645"/>
      <c r="AR125" s="645"/>
      <c r="AS125" s="645"/>
      <c r="AT125" s="645"/>
      <c r="AU125" s="645"/>
      <c r="AV125" s="645"/>
      <c r="AW125" s="645"/>
      <c r="AX125" s="645"/>
      <c r="AY125" s="645"/>
      <c r="AZ125" s="645"/>
      <c r="BA125" s="645"/>
      <c r="BB125" s="645"/>
      <c r="BC125" s="645"/>
      <c r="BD125" s="645"/>
      <c r="BE125" s="645"/>
      <c r="BF125" s="645"/>
      <c r="BG125" s="645"/>
      <c r="BH125" s="645"/>
      <c r="BI125" s="645"/>
      <c r="BJ125" s="645"/>
      <c r="BK125" s="645"/>
      <c r="BL125" s="645"/>
      <c r="BM125" s="645"/>
      <c r="BN125" s="645"/>
      <c r="BO125" s="645"/>
      <c r="BP125" s="645"/>
      <c r="BQ125" s="645"/>
      <c r="BR125" s="645"/>
      <c r="BS125" s="645"/>
      <c r="BT125" s="645"/>
      <c r="BU125" s="645"/>
      <c r="BV125" s="645"/>
      <c r="BW125" s="645"/>
      <c r="BX125" s="645"/>
      <c r="BY125" s="645"/>
      <c r="BZ125" s="645"/>
      <c r="CA125" s="645"/>
      <c r="CB125" s="645"/>
      <c r="CC125" s="645"/>
      <c r="CD125" s="645"/>
      <c r="CE125" s="645"/>
      <c r="CF125" s="645"/>
      <c r="CG125" s="645"/>
      <c r="CH125" s="645"/>
      <c r="CI125" s="645"/>
      <c r="CJ125" s="645"/>
      <c r="CK125" s="645"/>
      <c r="CL125" s="645"/>
      <c r="CM125" s="645"/>
      <c r="CN125" s="645"/>
      <c r="CO125" s="645"/>
      <c r="CP125" s="645"/>
      <c r="CQ125" s="645"/>
      <c r="CR125" s="645"/>
      <c r="CS125" s="645"/>
      <c r="CT125" s="645"/>
      <c r="CU125" s="645"/>
      <c r="CV125" s="645"/>
      <c r="CW125" s="645"/>
      <c r="CX125" s="645"/>
      <c r="CY125" s="645"/>
      <c r="CZ125" s="645"/>
      <c r="DA125" s="645"/>
      <c r="DB125" s="645"/>
      <c r="DC125" s="645"/>
      <c r="DD125" s="645"/>
      <c r="DE125" s="645"/>
      <c r="DF125" s="645"/>
      <c r="DG125" s="645"/>
      <c r="DH125" s="645"/>
      <c r="DI125" s="645"/>
      <c r="DJ125" s="645"/>
      <c r="DK125" s="645"/>
      <c r="DL125" s="645"/>
      <c r="DM125" s="645"/>
      <c r="DN125" s="645"/>
      <c r="DO125" s="645"/>
      <c r="DP125" s="645"/>
      <c r="DQ125" s="645"/>
      <c r="DR125" s="645"/>
      <c r="DS125" s="645"/>
      <c r="DT125" s="645"/>
      <c r="DU125" s="645"/>
      <c r="DV125" s="645"/>
      <c r="DW125" s="645"/>
      <c r="DX125" s="645"/>
      <c r="DY125" s="645"/>
      <c r="DZ125" s="645"/>
    </row>
    <row r="126" spans="1:130">
      <c r="A126" s="645"/>
      <c r="B126" s="645"/>
      <c r="C126" s="645"/>
      <c r="D126" s="645"/>
      <c r="E126" s="645"/>
      <c r="F126" s="645"/>
      <c r="G126" s="645"/>
      <c r="H126" s="645"/>
      <c r="I126" s="645"/>
      <c r="J126" s="645"/>
      <c r="K126" s="645"/>
      <c r="L126" s="645"/>
      <c r="M126" s="645"/>
      <c r="N126" s="645"/>
      <c r="O126" s="645"/>
      <c r="P126" s="645"/>
      <c r="Q126" s="645"/>
      <c r="R126" s="645"/>
      <c r="S126" s="645"/>
      <c r="T126" s="645"/>
      <c r="U126" s="645"/>
      <c r="V126" s="645"/>
      <c r="W126" s="645"/>
      <c r="X126" s="645"/>
      <c r="Y126" s="645"/>
      <c r="Z126" s="645"/>
      <c r="AA126" s="645"/>
      <c r="AB126" s="645"/>
      <c r="AC126" s="645"/>
      <c r="AD126" s="645"/>
      <c r="AE126" s="645"/>
      <c r="AF126" s="645"/>
      <c r="AG126" s="645"/>
      <c r="AH126" s="645"/>
      <c r="AI126" s="645"/>
      <c r="AJ126" s="645"/>
      <c r="AK126" s="645"/>
      <c r="AL126" s="645"/>
      <c r="AM126" s="645"/>
      <c r="AN126" s="645"/>
      <c r="AO126" s="645"/>
      <c r="AP126" s="645"/>
      <c r="AQ126" s="645"/>
      <c r="AR126" s="645"/>
      <c r="AS126" s="645"/>
      <c r="AT126" s="645"/>
      <c r="AU126" s="645"/>
      <c r="AV126" s="645"/>
      <c r="AW126" s="645"/>
      <c r="AX126" s="645"/>
      <c r="AY126" s="645"/>
      <c r="AZ126" s="645"/>
      <c r="BA126" s="645"/>
      <c r="BB126" s="645"/>
      <c r="BC126" s="645"/>
      <c r="BD126" s="645"/>
      <c r="BE126" s="645"/>
      <c r="BF126" s="645"/>
      <c r="BG126" s="645"/>
      <c r="BH126" s="645"/>
      <c r="BI126" s="645"/>
      <c r="BJ126" s="645"/>
      <c r="BK126" s="645"/>
      <c r="BL126" s="645"/>
      <c r="BM126" s="645"/>
      <c r="BN126" s="645"/>
      <c r="BO126" s="645"/>
      <c r="BP126" s="645"/>
      <c r="BQ126" s="645"/>
      <c r="BR126" s="645"/>
      <c r="BS126" s="645"/>
      <c r="BT126" s="645"/>
      <c r="BU126" s="645"/>
      <c r="BV126" s="645"/>
      <c r="BW126" s="645"/>
      <c r="BX126" s="645"/>
      <c r="BY126" s="645"/>
      <c r="BZ126" s="645"/>
      <c r="CA126" s="645"/>
      <c r="CB126" s="645"/>
      <c r="CC126" s="645"/>
      <c r="CD126" s="645"/>
      <c r="CE126" s="645"/>
      <c r="CF126" s="645"/>
      <c r="CG126" s="645"/>
      <c r="CH126" s="645"/>
      <c r="CI126" s="645"/>
      <c r="CJ126" s="645"/>
      <c r="CK126" s="645"/>
      <c r="CL126" s="645"/>
      <c r="CM126" s="645"/>
      <c r="CN126" s="645"/>
      <c r="CO126" s="645"/>
      <c r="CP126" s="645"/>
      <c r="CQ126" s="645"/>
      <c r="CR126" s="645"/>
      <c r="CS126" s="645"/>
      <c r="CT126" s="645"/>
      <c r="CU126" s="645"/>
      <c r="CV126" s="645"/>
      <c r="CW126" s="645"/>
      <c r="CX126" s="645"/>
      <c r="CY126" s="645"/>
      <c r="CZ126" s="645"/>
      <c r="DA126" s="645"/>
      <c r="DB126" s="645"/>
      <c r="DC126" s="645"/>
      <c r="DD126" s="645"/>
      <c r="DE126" s="645"/>
      <c r="DF126" s="645"/>
      <c r="DG126" s="645"/>
      <c r="DH126" s="645"/>
      <c r="DI126" s="645"/>
      <c r="DJ126" s="645"/>
      <c r="DK126" s="645"/>
      <c r="DL126" s="645"/>
      <c r="DM126" s="645"/>
      <c r="DN126" s="645"/>
      <c r="DO126" s="645"/>
      <c r="DP126" s="645"/>
      <c r="DQ126" s="645"/>
      <c r="DR126" s="645"/>
      <c r="DS126" s="645"/>
      <c r="DT126" s="645"/>
      <c r="DU126" s="645"/>
      <c r="DV126" s="645"/>
      <c r="DW126" s="645"/>
      <c r="DX126" s="645"/>
      <c r="DY126" s="645"/>
      <c r="DZ126" s="645"/>
    </row>
    <row r="127" spans="1:130">
      <c r="A127" s="645"/>
      <c r="B127" s="645"/>
      <c r="C127" s="645"/>
      <c r="D127" s="645"/>
      <c r="E127" s="645"/>
      <c r="F127" s="645"/>
      <c r="G127" s="645"/>
      <c r="H127" s="645"/>
      <c r="I127" s="645"/>
      <c r="J127" s="645"/>
      <c r="K127" s="645"/>
      <c r="L127" s="645"/>
      <c r="M127" s="645"/>
      <c r="N127" s="645"/>
      <c r="O127" s="645"/>
      <c r="P127" s="645"/>
      <c r="Q127" s="645"/>
      <c r="R127" s="645"/>
      <c r="S127" s="645"/>
      <c r="T127" s="645"/>
      <c r="U127" s="645"/>
      <c r="V127" s="645"/>
      <c r="W127" s="645"/>
      <c r="X127" s="645"/>
      <c r="Y127" s="645"/>
      <c r="Z127" s="645"/>
      <c r="AA127" s="645"/>
      <c r="AB127" s="645"/>
      <c r="AC127" s="645"/>
      <c r="AD127" s="645"/>
      <c r="AE127" s="645"/>
      <c r="AF127" s="645"/>
      <c r="AG127" s="645"/>
      <c r="AH127" s="645"/>
      <c r="AI127" s="645"/>
      <c r="AJ127" s="645"/>
      <c r="AK127" s="645"/>
      <c r="AL127" s="645"/>
      <c r="AM127" s="645"/>
      <c r="AN127" s="645"/>
      <c r="AO127" s="645"/>
      <c r="AP127" s="645"/>
      <c r="AQ127" s="645"/>
      <c r="AR127" s="645"/>
      <c r="AS127" s="645"/>
      <c r="AT127" s="645"/>
      <c r="AU127" s="645"/>
      <c r="AV127" s="645"/>
      <c r="AW127" s="645"/>
      <c r="AX127" s="645"/>
      <c r="AY127" s="645"/>
      <c r="AZ127" s="645"/>
      <c r="BA127" s="645"/>
      <c r="BB127" s="645"/>
      <c r="BC127" s="645"/>
      <c r="BD127" s="645"/>
      <c r="BE127" s="645"/>
      <c r="BF127" s="645"/>
      <c r="BG127" s="645"/>
      <c r="BH127" s="645"/>
      <c r="BI127" s="645"/>
      <c r="BJ127" s="645"/>
      <c r="BK127" s="645"/>
      <c r="BL127" s="645"/>
      <c r="BM127" s="645"/>
      <c r="BN127" s="645"/>
      <c r="BO127" s="645"/>
      <c r="BP127" s="645"/>
      <c r="BQ127" s="645"/>
      <c r="BR127" s="645"/>
      <c r="BS127" s="645"/>
      <c r="BT127" s="645"/>
      <c r="BU127" s="645"/>
      <c r="BV127" s="645"/>
      <c r="BW127" s="645"/>
      <c r="BX127" s="645"/>
      <c r="BY127" s="645"/>
      <c r="BZ127" s="645"/>
      <c r="CA127" s="645"/>
      <c r="CB127" s="645"/>
      <c r="CC127" s="645"/>
      <c r="CD127" s="645"/>
      <c r="CE127" s="645"/>
      <c r="CF127" s="645"/>
      <c r="CG127" s="645"/>
      <c r="CH127" s="645"/>
      <c r="CI127" s="645"/>
      <c r="CJ127" s="645"/>
      <c r="CK127" s="645"/>
      <c r="CL127" s="645"/>
      <c r="CM127" s="645"/>
      <c r="CN127" s="645"/>
      <c r="CO127" s="645"/>
      <c r="CP127" s="645"/>
      <c r="CQ127" s="645"/>
      <c r="CR127" s="645"/>
      <c r="CS127" s="645"/>
      <c r="CT127" s="645"/>
      <c r="CU127" s="645"/>
      <c r="CV127" s="645"/>
      <c r="CW127" s="645"/>
      <c r="CX127" s="645"/>
      <c r="CY127" s="645"/>
      <c r="CZ127" s="645"/>
      <c r="DA127" s="645"/>
      <c r="DB127" s="645"/>
      <c r="DC127" s="645"/>
      <c r="DD127" s="645"/>
      <c r="DE127" s="645"/>
      <c r="DF127" s="645"/>
      <c r="DG127" s="645"/>
      <c r="DH127" s="645"/>
      <c r="DI127" s="645"/>
      <c r="DJ127" s="645"/>
      <c r="DK127" s="645"/>
      <c r="DL127" s="645"/>
      <c r="DM127" s="645"/>
      <c r="DN127" s="645"/>
      <c r="DO127" s="645"/>
      <c r="DP127" s="645"/>
      <c r="DQ127" s="645"/>
      <c r="DR127" s="645"/>
      <c r="DS127" s="645"/>
      <c r="DT127" s="645"/>
      <c r="DU127" s="645"/>
      <c r="DV127" s="645"/>
      <c r="DW127" s="645"/>
      <c r="DX127" s="645"/>
      <c r="DY127" s="645"/>
      <c r="DZ127" s="645"/>
    </row>
    <row r="128" spans="1:130">
      <c r="A128" s="645"/>
      <c r="B128" s="645"/>
      <c r="C128" s="645"/>
      <c r="D128" s="645"/>
      <c r="E128" s="645"/>
      <c r="F128" s="645"/>
      <c r="G128" s="645"/>
      <c r="H128" s="645"/>
      <c r="I128" s="645"/>
      <c r="J128" s="645"/>
      <c r="K128" s="645"/>
      <c r="L128" s="645"/>
      <c r="M128" s="645"/>
      <c r="N128" s="645"/>
      <c r="O128" s="645"/>
      <c r="P128" s="645"/>
      <c r="Q128" s="645"/>
      <c r="R128" s="645"/>
      <c r="S128" s="645"/>
      <c r="T128" s="645"/>
      <c r="U128" s="645"/>
      <c r="V128" s="645"/>
      <c r="W128" s="645"/>
      <c r="X128" s="645"/>
      <c r="Y128" s="645"/>
      <c r="Z128" s="645"/>
      <c r="AA128" s="645"/>
      <c r="AB128" s="645"/>
      <c r="AC128" s="645"/>
      <c r="AD128" s="645"/>
      <c r="AE128" s="645"/>
      <c r="AF128" s="645"/>
      <c r="AG128" s="645"/>
      <c r="AH128" s="645"/>
      <c r="AI128" s="645"/>
      <c r="AJ128" s="645"/>
      <c r="AK128" s="645"/>
      <c r="AL128" s="645"/>
      <c r="AM128" s="645"/>
      <c r="AN128" s="645"/>
      <c r="AO128" s="645"/>
      <c r="AP128" s="645"/>
      <c r="AQ128" s="645"/>
      <c r="AR128" s="645"/>
      <c r="AS128" s="645"/>
      <c r="AT128" s="645"/>
      <c r="AU128" s="645"/>
      <c r="AV128" s="645"/>
      <c r="AW128" s="645"/>
      <c r="AX128" s="645"/>
      <c r="AY128" s="645"/>
      <c r="AZ128" s="645"/>
      <c r="BA128" s="645"/>
      <c r="BB128" s="645"/>
      <c r="BC128" s="645"/>
      <c r="BD128" s="645"/>
      <c r="BE128" s="645"/>
      <c r="BF128" s="645"/>
      <c r="BG128" s="645"/>
      <c r="BH128" s="645"/>
      <c r="BI128" s="645"/>
      <c r="BJ128" s="645"/>
      <c r="BK128" s="645"/>
      <c r="BL128" s="645"/>
      <c r="BM128" s="645"/>
      <c r="BN128" s="645"/>
      <c r="BO128" s="645"/>
      <c r="BP128" s="645"/>
      <c r="BQ128" s="645"/>
      <c r="BR128" s="645"/>
      <c r="BS128" s="645"/>
      <c r="BT128" s="645"/>
      <c r="BU128" s="645"/>
      <c r="BV128" s="645"/>
      <c r="BW128" s="645"/>
      <c r="BX128" s="645"/>
      <c r="BY128" s="645"/>
      <c r="BZ128" s="645"/>
      <c r="CA128" s="645"/>
      <c r="CB128" s="645"/>
      <c r="CC128" s="645"/>
      <c r="CD128" s="645"/>
      <c r="CE128" s="645"/>
      <c r="CF128" s="645"/>
      <c r="CG128" s="645"/>
      <c r="CH128" s="645"/>
      <c r="CI128" s="645"/>
      <c r="CJ128" s="645"/>
      <c r="CK128" s="645"/>
      <c r="CL128" s="645"/>
      <c r="CM128" s="645"/>
      <c r="CN128" s="645"/>
      <c r="CO128" s="645"/>
      <c r="CP128" s="645"/>
      <c r="CQ128" s="645"/>
      <c r="CR128" s="645"/>
      <c r="CS128" s="645"/>
      <c r="CT128" s="645"/>
      <c r="CU128" s="645"/>
      <c r="CV128" s="645"/>
      <c r="CW128" s="645"/>
      <c r="CX128" s="645"/>
      <c r="CY128" s="645"/>
      <c r="CZ128" s="645"/>
      <c r="DA128" s="645"/>
      <c r="DB128" s="645"/>
      <c r="DC128" s="645"/>
      <c r="DD128" s="645"/>
      <c r="DE128" s="645"/>
      <c r="DF128" s="645"/>
      <c r="DG128" s="645"/>
      <c r="DH128" s="645"/>
      <c r="DI128" s="645"/>
      <c r="DJ128" s="645"/>
      <c r="DK128" s="645"/>
      <c r="DL128" s="645"/>
      <c r="DM128" s="645"/>
      <c r="DN128" s="645"/>
      <c r="DO128" s="645"/>
      <c r="DP128" s="645"/>
      <c r="DQ128" s="645"/>
      <c r="DR128" s="645"/>
      <c r="DS128" s="645"/>
      <c r="DT128" s="645"/>
      <c r="DU128" s="645"/>
      <c r="DV128" s="645"/>
      <c r="DW128" s="645"/>
      <c r="DX128" s="645"/>
      <c r="DY128" s="645"/>
      <c r="DZ128" s="645"/>
    </row>
    <row r="129" spans="1:130">
      <c r="A129" s="645"/>
      <c r="B129" s="645"/>
      <c r="C129" s="645"/>
      <c r="D129" s="645"/>
      <c r="E129" s="645"/>
      <c r="F129" s="645"/>
      <c r="G129" s="645"/>
      <c r="H129" s="645"/>
      <c r="I129" s="645"/>
      <c r="J129" s="645"/>
      <c r="K129" s="645"/>
      <c r="L129" s="645"/>
      <c r="M129" s="645"/>
      <c r="N129" s="645"/>
      <c r="O129" s="645"/>
      <c r="P129" s="645"/>
      <c r="Q129" s="645"/>
      <c r="R129" s="645"/>
      <c r="S129" s="645"/>
      <c r="T129" s="645"/>
      <c r="U129" s="645"/>
      <c r="V129" s="645"/>
      <c r="W129" s="645"/>
      <c r="X129" s="645"/>
      <c r="Y129" s="645"/>
      <c r="Z129" s="645"/>
      <c r="AA129" s="645"/>
      <c r="AB129" s="645"/>
      <c r="AC129" s="645"/>
      <c r="AD129" s="645"/>
      <c r="AE129" s="645"/>
      <c r="AF129" s="645"/>
      <c r="AG129" s="645"/>
      <c r="AH129" s="645"/>
      <c r="AI129" s="645"/>
      <c r="AJ129" s="645"/>
      <c r="AK129" s="645"/>
      <c r="AL129" s="645"/>
      <c r="AM129" s="645"/>
      <c r="AN129" s="645"/>
      <c r="AO129" s="645"/>
      <c r="AP129" s="645"/>
      <c r="AQ129" s="645"/>
      <c r="AR129" s="645"/>
      <c r="AS129" s="645"/>
      <c r="AT129" s="645"/>
      <c r="AU129" s="645"/>
      <c r="AV129" s="645"/>
      <c r="AW129" s="645"/>
      <c r="AX129" s="645"/>
      <c r="AY129" s="645"/>
      <c r="AZ129" s="645"/>
      <c r="BA129" s="645"/>
      <c r="BB129" s="645"/>
      <c r="BC129" s="645"/>
      <c r="BD129" s="645"/>
      <c r="BE129" s="645"/>
      <c r="BF129" s="645"/>
      <c r="BG129" s="645"/>
      <c r="BH129" s="645"/>
      <c r="BI129" s="645"/>
      <c r="BJ129" s="645"/>
      <c r="BK129" s="645"/>
      <c r="BL129" s="645"/>
      <c r="BM129" s="645"/>
      <c r="BN129" s="645"/>
      <c r="BO129" s="645"/>
      <c r="BP129" s="645"/>
      <c r="BQ129" s="645"/>
      <c r="BR129" s="645"/>
      <c r="BS129" s="645"/>
      <c r="BT129" s="645"/>
      <c r="BU129" s="645"/>
      <c r="BV129" s="645"/>
      <c r="BW129" s="645"/>
      <c r="BX129" s="645"/>
      <c r="BY129" s="645"/>
      <c r="BZ129" s="645"/>
      <c r="CA129" s="645"/>
      <c r="CB129" s="645"/>
      <c r="CC129" s="645"/>
      <c r="CD129" s="645"/>
      <c r="CE129" s="645"/>
      <c r="CF129" s="645"/>
      <c r="CG129" s="645"/>
      <c r="CH129" s="645"/>
      <c r="CI129" s="645"/>
      <c r="CJ129" s="645"/>
      <c r="CK129" s="645"/>
      <c r="CL129" s="645"/>
      <c r="CM129" s="645"/>
      <c r="CN129" s="645"/>
      <c r="CO129" s="645"/>
      <c r="CP129" s="645"/>
      <c r="CQ129" s="645"/>
      <c r="CR129" s="645"/>
      <c r="CS129" s="645"/>
      <c r="CT129" s="645"/>
      <c r="CU129" s="645"/>
      <c r="CV129" s="645"/>
      <c r="CW129" s="645"/>
      <c r="CX129" s="645"/>
      <c r="CY129" s="645"/>
      <c r="CZ129" s="645"/>
      <c r="DA129" s="645"/>
      <c r="DB129" s="645"/>
      <c r="DC129" s="645"/>
      <c r="DD129" s="645"/>
      <c r="DE129" s="645"/>
      <c r="DF129" s="645"/>
      <c r="DG129" s="645"/>
      <c r="DH129" s="645"/>
      <c r="DI129" s="645"/>
      <c r="DJ129" s="645"/>
      <c r="DK129" s="645"/>
      <c r="DL129" s="645"/>
      <c r="DM129" s="645"/>
      <c r="DN129" s="645"/>
      <c r="DO129" s="645"/>
      <c r="DP129" s="645"/>
      <c r="DQ129" s="645"/>
      <c r="DR129" s="645"/>
      <c r="DS129" s="645"/>
      <c r="DT129" s="645"/>
      <c r="DU129" s="645"/>
      <c r="DV129" s="645"/>
      <c r="DW129" s="645"/>
      <c r="DX129" s="645"/>
      <c r="DY129" s="645"/>
      <c r="DZ129" s="645"/>
    </row>
    <row r="130" spans="1:130">
      <c r="A130" s="645"/>
      <c r="B130" s="645"/>
      <c r="C130" s="645"/>
      <c r="D130" s="645"/>
      <c r="E130" s="645"/>
      <c r="F130" s="645"/>
      <c r="G130" s="645"/>
      <c r="H130" s="645"/>
      <c r="I130" s="645"/>
      <c r="J130" s="645"/>
      <c r="K130" s="645"/>
      <c r="L130" s="645"/>
      <c r="M130" s="645"/>
      <c r="N130" s="645"/>
      <c r="O130" s="645"/>
      <c r="P130" s="645"/>
      <c r="Q130" s="645"/>
      <c r="R130" s="645"/>
      <c r="S130" s="645"/>
      <c r="T130" s="645"/>
      <c r="U130" s="645"/>
      <c r="V130" s="645"/>
      <c r="W130" s="645"/>
      <c r="X130" s="645"/>
      <c r="Y130" s="645"/>
      <c r="Z130" s="645"/>
      <c r="AA130" s="645"/>
      <c r="AB130" s="645"/>
      <c r="AC130" s="645"/>
      <c r="AD130" s="645"/>
      <c r="AE130" s="645"/>
      <c r="AF130" s="645"/>
      <c r="AG130" s="645"/>
      <c r="AH130" s="645"/>
      <c r="AI130" s="645"/>
      <c r="AJ130" s="645"/>
      <c r="AK130" s="645"/>
      <c r="AL130" s="645"/>
      <c r="AM130" s="645"/>
      <c r="AN130" s="645"/>
      <c r="AO130" s="645"/>
      <c r="AP130" s="645"/>
      <c r="AQ130" s="645"/>
      <c r="AR130" s="645"/>
      <c r="AS130" s="645"/>
      <c r="AT130" s="645"/>
      <c r="AU130" s="645"/>
      <c r="AV130" s="645"/>
      <c r="AW130" s="645"/>
      <c r="AX130" s="645"/>
      <c r="AY130" s="645"/>
      <c r="AZ130" s="645"/>
      <c r="BA130" s="645"/>
      <c r="BB130" s="645"/>
      <c r="BC130" s="645"/>
      <c r="BD130" s="645"/>
      <c r="BE130" s="645"/>
      <c r="BF130" s="645"/>
      <c r="BG130" s="645"/>
      <c r="BH130" s="645"/>
      <c r="BI130" s="645"/>
      <c r="BJ130" s="645"/>
      <c r="BK130" s="645"/>
      <c r="BL130" s="645"/>
      <c r="BM130" s="645"/>
      <c r="BN130" s="645"/>
      <c r="BO130" s="645"/>
      <c r="BP130" s="645"/>
      <c r="BQ130" s="645"/>
      <c r="BR130" s="645"/>
      <c r="BS130" s="645"/>
      <c r="BT130" s="645"/>
      <c r="BU130" s="645"/>
      <c r="BV130" s="645"/>
      <c r="BW130" s="645"/>
      <c r="BX130" s="645"/>
      <c r="BY130" s="645"/>
      <c r="BZ130" s="645"/>
      <c r="CA130" s="645"/>
      <c r="CB130" s="645"/>
      <c r="CC130" s="645"/>
      <c r="CD130" s="645"/>
      <c r="CE130" s="645"/>
      <c r="CF130" s="645"/>
      <c r="CG130" s="645"/>
      <c r="CH130" s="645"/>
      <c r="CI130" s="645"/>
      <c r="CJ130" s="645"/>
      <c r="CK130" s="645"/>
      <c r="CL130" s="645"/>
      <c r="CM130" s="645"/>
      <c r="CN130" s="645"/>
      <c r="CO130" s="645"/>
      <c r="CP130" s="645"/>
      <c r="CQ130" s="645"/>
      <c r="CR130" s="645"/>
      <c r="CS130" s="645"/>
      <c r="CT130" s="645"/>
      <c r="CU130" s="645"/>
      <c r="CV130" s="645"/>
      <c r="CW130" s="645"/>
      <c r="CX130" s="645"/>
      <c r="CY130" s="645"/>
      <c r="CZ130" s="645"/>
      <c r="DA130" s="645"/>
      <c r="DB130" s="645"/>
      <c r="DC130" s="645"/>
      <c r="DD130" s="645"/>
      <c r="DE130" s="645"/>
      <c r="DF130" s="645"/>
      <c r="DG130" s="645"/>
      <c r="DH130" s="645"/>
      <c r="DI130" s="645"/>
      <c r="DJ130" s="645"/>
      <c r="DK130" s="645"/>
      <c r="DL130" s="645"/>
      <c r="DM130" s="645"/>
      <c r="DN130" s="645"/>
      <c r="DO130" s="645"/>
      <c r="DP130" s="645"/>
      <c r="DQ130" s="645"/>
      <c r="DR130" s="645"/>
      <c r="DS130" s="645"/>
      <c r="DT130" s="645"/>
      <c r="DU130" s="645"/>
      <c r="DV130" s="645"/>
      <c r="DW130" s="645"/>
      <c r="DX130" s="645"/>
      <c r="DY130" s="645"/>
      <c r="DZ130" s="645"/>
    </row>
    <row r="131" spans="1:130">
      <c r="A131" s="645"/>
      <c r="B131" s="645"/>
      <c r="C131" s="645"/>
      <c r="D131" s="645"/>
      <c r="E131" s="645"/>
      <c r="F131" s="645"/>
      <c r="G131" s="645"/>
      <c r="H131" s="645"/>
      <c r="I131" s="645"/>
      <c r="J131" s="645"/>
      <c r="K131" s="645"/>
      <c r="L131" s="645"/>
      <c r="M131" s="645"/>
      <c r="N131" s="645"/>
      <c r="O131" s="645"/>
      <c r="P131" s="645"/>
      <c r="Q131" s="645"/>
      <c r="R131" s="645"/>
      <c r="S131" s="645"/>
      <c r="T131" s="645"/>
      <c r="U131" s="645"/>
      <c r="V131" s="645"/>
      <c r="W131" s="645"/>
      <c r="X131" s="645"/>
      <c r="Y131" s="645"/>
      <c r="Z131" s="645"/>
      <c r="AA131" s="645"/>
      <c r="AB131" s="645"/>
      <c r="AC131" s="645"/>
      <c r="AD131" s="645"/>
      <c r="AE131" s="645"/>
      <c r="AF131" s="645"/>
      <c r="AG131" s="645"/>
      <c r="AH131" s="645"/>
      <c r="AI131" s="645"/>
      <c r="AJ131" s="645"/>
      <c r="AK131" s="645"/>
      <c r="AL131" s="645"/>
      <c r="AM131" s="645"/>
      <c r="AN131" s="645"/>
      <c r="AO131" s="645"/>
      <c r="AP131" s="645"/>
      <c r="AQ131" s="645"/>
      <c r="AR131" s="645"/>
      <c r="AS131" s="645"/>
      <c r="AT131" s="645"/>
      <c r="AU131" s="645"/>
      <c r="AV131" s="645"/>
      <c r="AW131" s="645"/>
      <c r="AX131" s="645"/>
      <c r="AY131" s="645"/>
      <c r="AZ131" s="645"/>
      <c r="BA131" s="645"/>
      <c r="BB131" s="645"/>
      <c r="BC131" s="645"/>
      <c r="BD131" s="645"/>
      <c r="BE131" s="645"/>
      <c r="BF131" s="645"/>
      <c r="BG131" s="645"/>
      <c r="BH131" s="645"/>
      <c r="BI131" s="645"/>
      <c r="BJ131" s="645"/>
      <c r="BK131" s="645"/>
      <c r="BL131" s="645"/>
      <c r="BM131" s="645"/>
      <c r="BN131" s="645"/>
      <c r="BO131" s="645"/>
      <c r="BP131" s="645"/>
      <c r="BQ131" s="645"/>
      <c r="BR131" s="645"/>
      <c r="BS131" s="645"/>
      <c r="BT131" s="645"/>
      <c r="BU131" s="645"/>
      <c r="BV131" s="645"/>
      <c r="BW131" s="645"/>
      <c r="BX131" s="645"/>
      <c r="BY131" s="645"/>
      <c r="BZ131" s="645"/>
      <c r="CA131" s="645"/>
      <c r="CB131" s="645"/>
      <c r="CC131" s="645"/>
      <c r="CD131" s="645"/>
      <c r="CE131" s="645"/>
      <c r="CF131" s="645"/>
      <c r="CG131" s="645"/>
      <c r="CH131" s="645"/>
      <c r="CI131" s="645"/>
      <c r="CJ131" s="645"/>
      <c r="CK131" s="645"/>
      <c r="CL131" s="645"/>
      <c r="CM131" s="645"/>
      <c r="CN131" s="645"/>
      <c r="CO131" s="645"/>
      <c r="CP131" s="645"/>
      <c r="CQ131" s="645"/>
      <c r="CR131" s="645"/>
      <c r="CS131" s="645"/>
      <c r="CT131" s="645"/>
      <c r="CU131" s="645"/>
      <c r="CV131" s="645"/>
      <c r="CW131" s="645"/>
      <c r="CX131" s="645"/>
      <c r="CY131" s="645"/>
      <c r="CZ131" s="645"/>
      <c r="DA131" s="645"/>
      <c r="DB131" s="645"/>
      <c r="DC131" s="645"/>
      <c r="DD131" s="645"/>
      <c r="DE131" s="645"/>
      <c r="DF131" s="645"/>
      <c r="DG131" s="645"/>
      <c r="DH131" s="645"/>
      <c r="DI131" s="645"/>
      <c r="DJ131" s="645"/>
      <c r="DK131" s="645"/>
      <c r="DL131" s="645"/>
      <c r="DM131" s="645"/>
      <c r="DN131" s="645"/>
      <c r="DO131" s="645"/>
      <c r="DP131" s="645"/>
      <c r="DQ131" s="645"/>
      <c r="DR131" s="645"/>
      <c r="DS131" s="645"/>
      <c r="DT131" s="645"/>
      <c r="DU131" s="645"/>
      <c r="DV131" s="645"/>
      <c r="DW131" s="645"/>
      <c r="DX131" s="645"/>
      <c r="DY131" s="645"/>
      <c r="DZ131" s="645"/>
    </row>
    <row r="132" spans="1:130">
      <c r="A132" s="645"/>
      <c r="B132" s="645"/>
      <c r="C132" s="645"/>
      <c r="D132" s="645"/>
      <c r="E132" s="645"/>
      <c r="F132" s="645"/>
      <c r="G132" s="645"/>
      <c r="H132" s="645"/>
      <c r="I132" s="645"/>
      <c r="J132" s="645"/>
      <c r="K132" s="645"/>
      <c r="L132" s="645"/>
      <c r="M132" s="645"/>
      <c r="N132" s="645"/>
      <c r="O132" s="645"/>
      <c r="P132" s="645"/>
      <c r="Q132" s="645"/>
      <c r="R132" s="645"/>
      <c r="S132" s="645"/>
      <c r="T132" s="645"/>
      <c r="U132" s="645"/>
      <c r="V132" s="645"/>
      <c r="W132" s="645"/>
      <c r="X132" s="645"/>
      <c r="Y132" s="645"/>
      <c r="Z132" s="645"/>
      <c r="AA132" s="645"/>
      <c r="AB132" s="645"/>
      <c r="AC132" s="645"/>
      <c r="AD132" s="645"/>
      <c r="AE132" s="645"/>
      <c r="AF132" s="645"/>
      <c r="AG132" s="645"/>
      <c r="AH132" s="645"/>
      <c r="AI132" s="645"/>
      <c r="AJ132" s="645"/>
      <c r="AK132" s="645"/>
      <c r="AL132" s="645"/>
      <c r="AM132" s="645"/>
      <c r="AN132" s="645"/>
      <c r="AO132" s="645"/>
      <c r="AP132" s="645"/>
      <c r="AQ132" s="645"/>
      <c r="AR132" s="645"/>
      <c r="AS132" s="645"/>
      <c r="AT132" s="645"/>
      <c r="AU132" s="645"/>
      <c r="AV132" s="645"/>
      <c r="AW132" s="645"/>
      <c r="AX132" s="645"/>
      <c r="AY132" s="645"/>
      <c r="AZ132" s="645"/>
      <c r="BA132" s="645"/>
      <c r="BB132" s="645"/>
      <c r="BC132" s="645"/>
      <c r="BD132" s="645"/>
      <c r="BE132" s="645"/>
      <c r="BF132" s="645"/>
      <c r="BG132" s="645"/>
      <c r="BH132" s="645"/>
      <c r="BI132" s="645"/>
      <c r="BJ132" s="645"/>
      <c r="BK132" s="645"/>
      <c r="BL132" s="645"/>
      <c r="BM132" s="645"/>
      <c r="BN132" s="645"/>
      <c r="BO132" s="645"/>
      <c r="BP132" s="645"/>
      <c r="BQ132" s="645"/>
      <c r="BR132" s="645"/>
      <c r="BS132" s="645"/>
      <c r="BT132" s="645"/>
      <c r="BU132" s="645"/>
      <c r="BV132" s="645"/>
      <c r="BW132" s="645"/>
      <c r="BX132" s="645"/>
      <c r="BY132" s="645"/>
      <c r="BZ132" s="645"/>
      <c r="CA132" s="645"/>
      <c r="CB132" s="645"/>
      <c r="CC132" s="645"/>
      <c r="CD132" s="645"/>
      <c r="CE132" s="645"/>
      <c r="CF132" s="645"/>
      <c r="CG132" s="645"/>
      <c r="CH132" s="645"/>
      <c r="CI132" s="645"/>
      <c r="CJ132" s="645"/>
      <c r="CK132" s="645"/>
      <c r="CL132" s="645"/>
      <c r="CM132" s="645"/>
      <c r="CN132" s="645"/>
      <c r="CO132" s="645"/>
      <c r="CP132" s="645"/>
      <c r="CQ132" s="645"/>
      <c r="CR132" s="645"/>
      <c r="CS132" s="645"/>
      <c r="CT132" s="645"/>
      <c r="CU132" s="645"/>
      <c r="CV132" s="645"/>
      <c r="CW132" s="645"/>
      <c r="CX132" s="645"/>
      <c r="CY132" s="645"/>
      <c r="CZ132" s="645"/>
      <c r="DA132" s="645"/>
      <c r="DB132" s="645"/>
      <c r="DC132" s="645"/>
      <c r="DD132" s="645"/>
      <c r="DE132" s="645"/>
      <c r="DF132" s="645"/>
      <c r="DG132" s="645"/>
      <c r="DH132" s="645"/>
      <c r="DI132" s="645"/>
      <c r="DJ132" s="645"/>
      <c r="DK132" s="645"/>
      <c r="DL132" s="645"/>
      <c r="DM132" s="645"/>
      <c r="DN132" s="645"/>
      <c r="DO132" s="645"/>
      <c r="DP132" s="645"/>
      <c r="DQ132" s="645"/>
      <c r="DR132" s="645"/>
      <c r="DS132" s="645"/>
      <c r="DT132" s="645"/>
      <c r="DU132" s="645"/>
      <c r="DV132" s="645"/>
      <c r="DW132" s="645"/>
      <c r="DX132" s="645"/>
      <c r="DY132" s="645"/>
      <c r="DZ132" s="645"/>
    </row>
    <row r="133" spans="1:130">
      <c r="A133" s="645"/>
      <c r="B133" s="645"/>
      <c r="C133" s="645"/>
      <c r="D133" s="645"/>
      <c r="E133" s="645"/>
      <c r="F133" s="645"/>
      <c r="G133" s="645"/>
      <c r="H133" s="645"/>
      <c r="I133" s="645"/>
      <c r="J133" s="645"/>
      <c r="K133" s="645"/>
      <c r="L133" s="645"/>
      <c r="M133" s="645"/>
      <c r="N133" s="645"/>
      <c r="O133" s="645"/>
      <c r="P133" s="645"/>
      <c r="Q133" s="645"/>
      <c r="R133" s="645"/>
      <c r="S133" s="645"/>
      <c r="T133" s="645"/>
      <c r="U133" s="645"/>
      <c r="V133" s="645"/>
      <c r="W133" s="645"/>
      <c r="X133" s="645"/>
      <c r="Y133" s="645"/>
      <c r="Z133" s="645"/>
      <c r="AA133" s="645"/>
      <c r="AB133" s="645"/>
      <c r="AC133" s="645"/>
      <c r="AD133" s="645"/>
      <c r="AE133" s="645"/>
      <c r="AF133" s="645"/>
      <c r="AG133" s="645"/>
      <c r="AH133" s="645"/>
      <c r="AI133" s="645"/>
      <c r="AJ133" s="645"/>
      <c r="AK133" s="645"/>
      <c r="AL133" s="645"/>
      <c r="AM133" s="645"/>
      <c r="AN133" s="645"/>
      <c r="AO133" s="645"/>
      <c r="AP133" s="645"/>
      <c r="AQ133" s="645"/>
      <c r="AR133" s="645"/>
      <c r="AS133" s="645"/>
      <c r="AT133" s="645"/>
      <c r="AU133" s="645"/>
      <c r="AV133" s="645"/>
      <c r="AW133" s="645"/>
      <c r="AX133" s="645"/>
      <c r="AY133" s="645"/>
      <c r="AZ133" s="645"/>
      <c r="BA133" s="645"/>
      <c r="BB133" s="645"/>
      <c r="BC133" s="645"/>
      <c r="BD133" s="645"/>
      <c r="BE133" s="645"/>
      <c r="BF133" s="645"/>
      <c r="BG133" s="645"/>
      <c r="BH133" s="645"/>
      <c r="BI133" s="645"/>
      <c r="BJ133" s="645"/>
      <c r="BK133" s="645"/>
      <c r="BL133" s="645"/>
      <c r="BM133" s="645"/>
      <c r="BN133" s="645"/>
      <c r="BO133" s="645"/>
      <c r="BP133" s="645"/>
      <c r="BQ133" s="645"/>
      <c r="BR133" s="645"/>
      <c r="BS133" s="645"/>
      <c r="BT133" s="645"/>
      <c r="BU133" s="645"/>
      <c r="BV133" s="645"/>
      <c r="BW133" s="645"/>
      <c r="BX133" s="645"/>
      <c r="BY133" s="645"/>
      <c r="BZ133" s="645"/>
      <c r="CA133" s="645"/>
      <c r="CB133" s="645"/>
      <c r="CC133" s="645"/>
      <c r="CD133" s="645"/>
      <c r="CE133" s="645"/>
      <c r="CF133" s="645"/>
      <c r="CG133" s="645"/>
      <c r="CH133" s="645"/>
      <c r="CI133" s="645"/>
      <c r="CJ133" s="645"/>
      <c r="CK133" s="645"/>
      <c r="CL133" s="645"/>
      <c r="CM133" s="645"/>
      <c r="CN133" s="645"/>
      <c r="CO133" s="645"/>
      <c r="CP133" s="645"/>
      <c r="CQ133" s="645"/>
      <c r="CR133" s="645"/>
      <c r="CS133" s="645"/>
      <c r="CT133" s="645"/>
      <c r="CU133" s="645"/>
      <c r="CV133" s="645"/>
      <c r="CW133" s="645"/>
      <c r="CX133" s="645"/>
      <c r="CY133" s="645"/>
      <c r="CZ133" s="645"/>
      <c r="DA133" s="645"/>
      <c r="DB133" s="645"/>
      <c r="DC133" s="645"/>
      <c r="DD133" s="645"/>
      <c r="DE133" s="645"/>
      <c r="DF133" s="645"/>
      <c r="DG133" s="645"/>
      <c r="DH133" s="645"/>
      <c r="DI133" s="645"/>
      <c r="DJ133" s="645"/>
      <c r="DK133" s="645"/>
      <c r="DL133" s="645"/>
      <c r="DM133" s="645"/>
      <c r="DN133" s="645"/>
      <c r="DO133" s="645"/>
      <c r="DP133" s="645"/>
      <c r="DQ133" s="645"/>
      <c r="DR133" s="645"/>
      <c r="DS133" s="645"/>
      <c r="DT133" s="645"/>
      <c r="DU133" s="645"/>
      <c r="DV133" s="645"/>
      <c r="DW133" s="645"/>
      <c r="DX133" s="645"/>
      <c r="DY133" s="645"/>
      <c r="DZ133" s="645"/>
    </row>
    <row r="134" spans="1:130">
      <c r="A134" s="645"/>
      <c r="B134" s="645"/>
      <c r="C134" s="645"/>
      <c r="D134" s="645"/>
      <c r="E134" s="645"/>
      <c r="F134" s="645"/>
      <c r="G134" s="645"/>
      <c r="H134" s="645"/>
      <c r="I134" s="645"/>
      <c r="J134" s="645"/>
      <c r="K134" s="645"/>
      <c r="L134" s="645"/>
      <c r="M134" s="645"/>
      <c r="N134" s="645"/>
      <c r="O134" s="645"/>
      <c r="P134" s="645"/>
      <c r="Q134" s="645"/>
      <c r="R134" s="645"/>
      <c r="S134" s="645"/>
      <c r="T134" s="645"/>
      <c r="U134" s="645"/>
      <c r="V134" s="645"/>
      <c r="W134" s="645"/>
      <c r="X134" s="645"/>
      <c r="Y134" s="645"/>
      <c r="Z134" s="645"/>
      <c r="AA134" s="645"/>
      <c r="AB134" s="645"/>
      <c r="AC134" s="645"/>
      <c r="AD134" s="645"/>
      <c r="AE134" s="645"/>
      <c r="AF134" s="645"/>
      <c r="AG134" s="645"/>
      <c r="AH134" s="645"/>
      <c r="AI134" s="645"/>
      <c r="AJ134" s="645"/>
      <c r="AK134" s="645"/>
      <c r="AL134" s="645"/>
      <c r="AM134" s="645"/>
      <c r="AN134" s="645"/>
      <c r="AO134" s="645"/>
      <c r="AP134" s="645"/>
      <c r="AQ134" s="645"/>
      <c r="AR134" s="645"/>
      <c r="AS134" s="645"/>
      <c r="AT134" s="645"/>
      <c r="AU134" s="645"/>
      <c r="AV134" s="645"/>
      <c r="AW134" s="645"/>
      <c r="AX134" s="645"/>
      <c r="AY134" s="645"/>
      <c r="AZ134" s="645"/>
      <c r="BA134" s="645"/>
      <c r="BB134" s="645"/>
      <c r="BC134" s="645"/>
      <c r="BD134" s="645"/>
      <c r="BE134" s="645"/>
      <c r="BF134" s="645"/>
      <c r="BG134" s="645"/>
      <c r="BH134" s="645"/>
      <c r="BI134" s="645"/>
      <c r="BJ134" s="645"/>
      <c r="BK134" s="645"/>
      <c r="BL134" s="645"/>
      <c r="BM134" s="645"/>
      <c r="BN134" s="645"/>
      <c r="BO134" s="645"/>
      <c r="BP134" s="645"/>
      <c r="BQ134" s="645"/>
      <c r="BR134" s="645"/>
      <c r="BS134" s="645"/>
      <c r="BT134" s="645"/>
      <c r="BU134" s="645"/>
      <c r="BV134" s="645"/>
      <c r="BW134" s="645"/>
      <c r="BX134" s="645"/>
      <c r="BY134" s="645"/>
      <c r="BZ134" s="645"/>
      <c r="CA134" s="645"/>
      <c r="CB134" s="645"/>
      <c r="CC134" s="645"/>
      <c r="CD134" s="645"/>
      <c r="CE134" s="645"/>
      <c r="CF134" s="645"/>
      <c r="CG134" s="645"/>
      <c r="CH134" s="645"/>
      <c r="CI134" s="645"/>
      <c r="CJ134" s="645"/>
      <c r="CK134" s="645"/>
      <c r="CL134" s="645"/>
      <c r="CM134" s="645"/>
      <c r="CN134" s="645"/>
      <c r="CO134" s="645"/>
      <c r="CP134" s="645"/>
      <c r="CQ134" s="645"/>
      <c r="CR134" s="645"/>
      <c r="CS134" s="645"/>
      <c r="CT134" s="645"/>
      <c r="CU134" s="645"/>
      <c r="CV134" s="645"/>
      <c r="CW134" s="645"/>
      <c r="CX134" s="645"/>
      <c r="CY134" s="645"/>
      <c r="CZ134" s="645"/>
      <c r="DA134" s="645"/>
      <c r="DB134" s="645"/>
      <c r="DC134" s="645"/>
      <c r="DD134" s="645"/>
      <c r="DE134" s="645"/>
      <c r="DF134" s="645"/>
      <c r="DG134" s="645"/>
      <c r="DH134" s="645"/>
      <c r="DI134" s="645"/>
      <c r="DJ134" s="645"/>
      <c r="DK134" s="645"/>
      <c r="DL134" s="645"/>
      <c r="DM134" s="645"/>
      <c r="DN134" s="645"/>
      <c r="DO134" s="645"/>
      <c r="DP134" s="645"/>
      <c r="DQ134" s="645"/>
      <c r="DR134" s="645"/>
      <c r="DS134" s="645"/>
      <c r="DT134" s="645"/>
      <c r="DU134" s="645"/>
      <c r="DV134" s="645"/>
      <c r="DW134" s="645"/>
      <c r="DX134" s="645"/>
      <c r="DY134" s="645"/>
      <c r="DZ134" s="645"/>
    </row>
    <row r="135" spans="1:130">
      <c r="A135" s="645"/>
      <c r="B135" s="645"/>
      <c r="C135" s="645"/>
      <c r="D135" s="645"/>
      <c r="E135" s="645"/>
      <c r="F135" s="645"/>
      <c r="G135" s="645"/>
      <c r="H135" s="645"/>
      <c r="I135" s="645"/>
      <c r="J135" s="645"/>
      <c r="K135" s="645"/>
      <c r="L135" s="645"/>
      <c r="M135" s="645"/>
      <c r="N135" s="645"/>
      <c r="O135" s="645"/>
      <c r="P135" s="645"/>
      <c r="Q135" s="645"/>
      <c r="R135" s="645"/>
      <c r="S135" s="645"/>
      <c r="T135" s="645"/>
      <c r="U135" s="645"/>
      <c r="V135" s="645"/>
      <c r="W135" s="645"/>
      <c r="X135" s="645"/>
      <c r="Y135" s="645"/>
      <c r="Z135" s="645"/>
      <c r="AA135" s="645"/>
      <c r="AB135" s="645"/>
      <c r="AC135" s="645"/>
      <c r="AD135" s="645"/>
      <c r="AE135" s="645"/>
      <c r="AF135" s="645"/>
      <c r="AG135" s="645"/>
      <c r="AH135" s="645"/>
      <c r="AI135" s="645"/>
      <c r="AJ135" s="645"/>
      <c r="AK135" s="645"/>
      <c r="AL135" s="645"/>
      <c r="AM135" s="645"/>
      <c r="AN135" s="645"/>
      <c r="AO135" s="645"/>
      <c r="AP135" s="645"/>
      <c r="AQ135" s="645"/>
      <c r="AR135" s="645"/>
      <c r="AS135" s="645"/>
      <c r="AT135" s="645"/>
      <c r="AU135" s="645"/>
      <c r="AV135" s="645"/>
      <c r="AW135" s="645"/>
      <c r="AX135" s="645"/>
      <c r="AY135" s="645"/>
      <c r="AZ135" s="645"/>
      <c r="BA135" s="645"/>
      <c r="BB135" s="645"/>
      <c r="BC135" s="645"/>
      <c r="BD135" s="645"/>
      <c r="BE135" s="645"/>
      <c r="BF135" s="645"/>
      <c r="BG135" s="645"/>
      <c r="BH135" s="645"/>
      <c r="BI135" s="645"/>
      <c r="BJ135" s="645"/>
      <c r="BK135" s="645"/>
      <c r="BL135" s="645"/>
      <c r="BM135" s="645"/>
      <c r="BN135" s="645"/>
      <c r="BO135" s="645"/>
      <c r="BP135" s="645"/>
      <c r="BQ135" s="645"/>
      <c r="BR135" s="645"/>
      <c r="BS135" s="645"/>
      <c r="BT135" s="645"/>
      <c r="BU135" s="645"/>
      <c r="BV135" s="645"/>
      <c r="BW135" s="645"/>
      <c r="BX135" s="645"/>
      <c r="BY135" s="645"/>
      <c r="BZ135" s="645"/>
      <c r="CA135" s="645"/>
      <c r="CB135" s="645"/>
      <c r="CC135" s="645"/>
      <c r="CD135" s="645"/>
      <c r="CE135" s="645"/>
      <c r="CF135" s="645"/>
      <c r="CG135" s="645"/>
      <c r="CH135" s="645"/>
      <c r="CI135" s="645"/>
      <c r="CJ135" s="645"/>
      <c r="CK135" s="645"/>
      <c r="CL135" s="645"/>
      <c r="CM135" s="645"/>
      <c r="CN135" s="645"/>
      <c r="CO135" s="645"/>
      <c r="CP135" s="645"/>
      <c r="CQ135" s="645"/>
      <c r="CR135" s="645"/>
      <c r="CS135" s="645"/>
      <c r="CT135" s="645"/>
      <c r="CU135" s="645"/>
      <c r="CV135" s="645"/>
      <c r="CW135" s="645"/>
      <c r="CX135" s="645"/>
      <c r="CY135" s="645"/>
      <c r="CZ135" s="645"/>
      <c r="DA135" s="645"/>
      <c r="DB135" s="645"/>
      <c r="DC135" s="645"/>
      <c r="DD135" s="645"/>
      <c r="DE135" s="645"/>
      <c r="DF135" s="645"/>
      <c r="DG135" s="645"/>
      <c r="DH135" s="645"/>
      <c r="DI135" s="645"/>
      <c r="DJ135" s="645"/>
      <c r="DK135" s="645"/>
      <c r="DL135" s="645"/>
      <c r="DM135" s="645"/>
      <c r="DN135" s="645"/>
      <c r="DO135" s="645"/>
      <c r="DP135" s="645"/>
      <c r="DQ135" s="645"/>
      <c r="DR135" s="645"/>
      <c r="DS135" s="645"/>
      <c r="DT135" s="645"/>
      <c r="DU135" s="645"/>
      <c r="DV135" s="645"/>
      <c r="DW135" s="645"/>
      <c r="DX135" s="645"/>
      <c r="DY135" s="645"/>
      <c r="DZ135" s="645"/>
    </row>
    <row r="136" spans="1:130">
      <c r="A136" s="645"/>
      <c r="B136" s="645"/>
      <c r="C136" s="645"/>
      <c r="D136" s="645"/>
      <c r="E136" s="645"/>
      <c r="F136" s="645"/>
      <c r="G136" s="645"/>
      <c r="H136" s="645"/>
      <c r="I136" s="645"/>
      <c r="J136" s="645"/>
      <c r="K136" s="645"/>
      <c r="L136" s="645"/>
      <c r="M136" s="645"/>
      <c r="N136" s="645"/>
      <c r="O136" s="645"/>
      <c r="P136" s="645"/>
      <c r="Q136" s="645"/>
      <c r="R136" s="645"/>
      <c r="S136" s="645"/>
      <c r="T136" s="645"/>
      <c r="U136" s="645"/>
      <c r="V136" s="645"/>
      <c r="W136" s="645"/>
      <c r="X136" s="645"/>
      <c r="Y136" s="645"/>
      <c r="Z136" s="645"/>
      <c r="AA136" s="645"/>
      <c r="AB136" s="645"/>
      <c r="AC136" s="645"/>
      <c r="AD136" s="645"/>
      <c r="AE136" s="645"/>
      <c r="AF136" s="645"/>
      <c r="AG136" s="645"/>
      <c r="AH136" s="645"/>
      <c r="AI136" s="645"/>
      <c r="AJ136" s="645"/>
      <c r="AK136" s="645"/>
      <c r="AL136" s="645"/>
      <c r="AM136" s="645"/>
      <c r="AN136" s="645"/>
      <c r="AO136" s="645"/>
      <c r="AP136" s="645"/>
      <c r="AQ136" s="645"/>
      <c r="AR136" s="645"/>
      <c r="AS136" s="645"/>
      <c r="AT136" s="645"/>
      <c r="AU136" s="645"/>
      <c r="AV136" s="645"/>
      <c r="AW136" s="645"/>
      <c r="AX136" s="645"/>
      <c r="AY136" s="645"/>
      <c r="AZ136" s="645"/>
      <c r="BA136" s="645"/>
      <c r="BB136" s="645"/>
      <c r="BC136" s="645"/>
      <c r="BD136" s="645"/>
      <c r="BE136" s="645"/>
      <c r="BF136" s="645"/>
      <c r="BG136" s="645"/>
      <c r="BH136" s="645"/>
      <c r="BI136" s="645"/>
      <c r="BJ136" s="645"/>
      <c r="BK136" s="645"/>
      <c r="BL136" s="645"/>
      <c r="BM136" s="645"/>
      <c r="BN136" s="645"/>
      <c r="BO136" s="645"/>
      <c r="BP136" s="645"/>
      <c r="BQ136" s="645"/>
      <c r="BR136" s="645"/>
      <c r="BS136" s="645"/>
      <c r="BT136" s="645"/>
      <c r="BU136" s="645"/>
      <c r="BV136" s="645"/>
      <c r="BW136" s="645"/>
      <c r="BX136" s="645"/>
      <c r="BY136" s="645"/>
      <c r="BZ136" s="645"/>
      <c r="CA136" s="645"/>
      <c r="CB136" s="645"/>
      <c r="CC136" s="645"/>
      <c r="CD136" s="645"/>
      <c r="CE136" s="645"/>
      <c r="CF136" s="645"/>
      <c r="CG136" s="645"/>
      <c r="CH136" s="645"/>
      <c r="CI136" s="645"/>
      <c r="CJ136" s="645"/>
      <c r="CK136" s="645"/>
      <c r="CL136" s="645"/>
      <c r="CM136" s="645"/>
      <c r="CN136" s="645"/>
      <c r="CO136" s="645"/>
      <c r="CP136" s="645"/>
      <c r="CQ136" s="645"/>
      <c r="CR136" s="645"/>
      <c r="CS136" s="645"/>
      <c r="CT136" s="645"/>
      <c r="CU136" s="645"/>
      <c r="CV136" s="645"/>
      <c r="CW136" s="645"/>
      <c r="CX136" s="645"/>
      <c r="CY136" s="645"/>
      <c r="CZ136" s="645"/>
      <c r="DA136" s="645"/>
      <c r="DB136" s="645"/>
      <c r="DC136" s="645"/>
      <c r="DD136" s="645"/>
      <c r="DE136" s="645"/>
      <c r="DF136" s="645"/>
      <c r="DG136" s="645"/>
      <c r="DH136" s="645"/>
      <c r="DI136" s="645"/>
      <c r="DJ136" s="645"/>
      <c r="DK136" s="645"/>
      <c r="DL136" s="645"/>
      <c r="DM136" s="645"/>
      <c r="DN136" s="645"/>
      <c r="DO136" s="645"/>
      <c r="DP136" s="645"/>
      <c r="DQ136" s="645"/>
      <c r="DR136" s="645"/>
      <c r="DS136" s="645"/>
      <c r="DT136" s="645"/>
      <c r="DU136" s="645"/>
      <c r="DV136" s="645"/>
      <c r="DW136" s="645"/>
      <c r="DX136" s="645"/>
      <c r="DY136" s="645"/>
      <c r="DZ136" s="645"/>
    </row>
    <row r="137" spans="1:130">
      <c r="A137" s="645"/>
      <c r="B137" s="645"/>
      <c r="C137" s="645"/>
      <c r="D137" s="645"/>
      <c r="E137" s="645"/>
      <c r="F137" s="645"/>
      <c r="G137" s="645"/>
      <c r="H137" s="645"/>
      <c r="I137" s="645"/>
      <c r="J137" s="645"/>
      <c r="K137" s="645"/>
      <c r="L137" s="645"/>
      <c r="M137" s="645"/>
      <c r="N137" s="645"/>
      <c r="O137" s="645"/>
      <c r="P137" s="645"/>
      <c r="Q137" s="645"/>
      <c r="R137" s="645"/>
      <c r="S137" s="645"/>
      <c r="T137" s="645"/>
      <c r="U137" s="645"/>
      <c r="V137" s="645"/>
      <c r="W137" s="645"/>
      <c r="X137" s="645"/>
      <c r="Y137" s="645"/>
      <c r="Z137" s="645"/>
      <c r="AA137" s="645"/>
      <c r="AB137" s="645"/>
      <c r="AC137" s="645"/>
      <c r="AD137" s="645"/>
      <c r="AE137" s="645"/>
      <c r="AF137" s="645"/>
      <c r="AG137" s="645"/>
      <c r="AH137" s="645"/>
      <c r="AI137" s="645"/>
      <c r="AJ137" s="645"/>
      <c r="AK137" s="645"/>
      <c r="AL137" s="645"/>
      <c r="AM137" s="645"/>
      <c r="AN137" s="645"/>
      <c r="AO137" s="645"/>
      <c r="AP137" s="645"/>
      <c r="AQ137" s="645"/>
      <c r="AR137" s="645"/>
      <c r="AS137" s="645"/>
      <c r="AT137" s="645"/>
      <c r="AU137" s="645"/>
      <c r="AV137" s="645"/>
      <c r="AW137" s="645"/>
      <c r="AX137" s="645"/>
      <c r="AY137" s="645"/>
      <c r="AZ137" s="645"/>
      <c r="BA137" s="645"/>
      <c r="BB137" s="645"/>
      <c r="BC137" s="645"/>
      <c r="BD137" s="645"/>
      <c r="BE137" s="645"/>
      <c r="BF137" s="645"/>
      <c r="BG137" s="645"/>
      <c r="BH137" s="645"/>
      <c r="BI137" s="645"/>
      <c r="BJ137" s="645"/>
      <c r="BK137" s="645"/>
      <c r="BL137" s="645"/>
      <c r="BM137" s="645"/>
      <c r="BN137" s="645"/>
      <c r="BO137" s="645"/>
      <c r="BP137" s="645"/>
      <c r="BQ137" s="645"/>
      <c r="BR137" s="645"/>
      <c r="BS137" s="645"/>
      <c r="BT137" s="645"/>
      <c r="BU137" s="645"/>
      <c r="BV137" s="645"/>
      <c r="BW137" s="645"/>
      <c r="BX137" s="645"/>
      <c r="BY137" s="645"/>
      <c r="BZ137" s="645"/>
      <c r="CA137" s="645"/>
      <c r="CB137" s="645"/>
      <c r="CC137" s="645"/>
      <c r="CD137" s="645"/>
      <c r="CE137" s="645"/>
      <c r="CF137" s="645"/>
      <c r="CG137" s="645"/>
      <c r="CH137" s="645"/>
      <c r="CI137" s="645"/>
      <c r="CJ137" s="645"/>
      <c r="CK137" s="645"/>
      <c r="CL137" s="645"/>
      <c r="CM137" s="645"/>
      <c r="CN137" s="645"/>
      <c r="CO137" s="645"/>
      <c r="CP137" s="645"/>
      <c r="CQ137" s="645"/>
      <c r="CR137" s="645"/>
      <c r="CS137" s="645"/>
      <c r="CT137" s="645"/>
      <c r="CU137" s="645"/>
      <c r="CV137" s="645"/>
      <c r="CW137" s="645"/>
      <c r="CX137" s="645"/>
      <c r="CY137" s="645"/>
      <c r="CZ137" s="645"/>
      <c r="DA137" s="645"/>
      <c r="DB137" s="645"/>
      <c r="DC137" s="645"/>
      <c r="DD137" s="645"/>
      <c r="DE137" s="645"/>
      <c r="DF137" s="645"/>
      <c r="DG137" s="645"/>
      <c r="DH137" s="645"/>
      <c r="DI137" s="645"/>
      <c r="DJ137" s="645"/>
      <c r="DK137" s="645"/>
      <c r="DL137" s="645"/>
      <c r="DM137" s="645"/>
      <c r="DN137" s="645"/>
      <c r="DO137" s="645"/>
      <c r="DP137" s="645"/>
      <c r="DQ137" s="645"/>
      <c r="DR137" s="645"/>
      <c r="DS137" s="645"/>
      <c r="DT137" s="645"/>
      <c r="DU137" s="645"/>
      <c r="DV137" s="645"/>
      <c r="DW137" s="645"/>
      <c r="DX137" s="645"/>
      <c r="DY137" s="645"/>
      <c r="DZ137" s="645"/>
    </row>
    <row r="138" spans="1:130">
      <c r="A138" s="645"/>
      <c r="B138" s="645"/>
      <c r="C138" s="645"/>
      <c r="D138" s="645"/>
      <c r="E138" s="645"/>
      <c r="F138" s="645"/>
      <c r="G138" s="645"/>
      <c r="H138" s="645"/>
      <c r="I138" s="645"/>
      <c r="J138" s="645"/>
      <c r="K138" s="645"/>
      <c r="L138" s="645"/>
      <c r="M138" s="645"/>
      <c r="N138" s="645"/>
      <c r="O138" s="645"/>
      <c r="P138" s="645"/>
      <c r="Q138" s="645"/>
      <c r="R138" s="645"/>
      <c r="S138" s="645"/>
      <c r="T138" s="645"/>
      <c r="U138" s="645"/>
      <c r="V138" s="645"/>
      <c r="W138" s="645"/>
      <c r="X138" s="645"/>
      <c r="Y138" s="645"/>
      <c r="Z138" s="645"/>
      <c r="AA138" s="645"/>
      <c r="AB138" s="645"/>
      <c r="AC138" s="645"/>
      <c r="AD138" s="645"/>
      <c r="AE138" s="645"/>
      <c r="AF138" s="645"/>
      <c r="AG138" s="645"/>
      <c r="AH138" s="645"/>
      <c r="AI138" s="645"/>
      <c r="AJ138" s="645"/>
      <c r="AK138" s="645"/>
      <c r="AL138" s="645"/>
      <c r="AM138" s="645"/>
      <c r="AN138" s="645"/>
      <c r="AO138" s="645"/>
      <c r="AP138" s="645"/>
      <c r="AQ138" s="645"/>
      <c r="AR138" s="645"/>
      <c r="AS138" s="645"/>
      <c r="AT138" s="645"/>
      <c r="AU138" s="645"/>
      <c r="AV138" s="645"/>
      <c r="AW138" s="645"/>
      <c r="AX138" s="645"/>
      <c r="AY138" s="645"/>
      <c r="AZ138" s="645"/>
      <c r="BA138" s="645"/>
      <c r="BB138" s="645"/>
      <c r="BC138" s="645"/>
      <c r="BD138" s="645"/>
      <c r="BE138" s="645"/>
      <c r="BF138" s="645"/>
      <c r="BG138" s="645"/>
      <c r="BH138" s="645"/>
      <c r="BI138" s="645"/>
      <c r="BJ138" s="645"/>
      <c r="BK138" s="645"/>
      <c r="BL138" s="645"/>
      <c r="BM138" s="645"/>
      <c r="BN138" s="645"/>
      <c r="BO138" s="645"/>
      <c r="BP138" s="645"/>
      <c r="BQ138" s="645"/>
      <c r="BR138" s="645"/>
      <c r="BS138" s="645"/>
      <c r="BT138" s="645"/>
      <c r="BU138" s="645"/>
      <c r="BV138" s="645"/>
      <c r="BW138" s="645"/>
      <c r="BX138" s="645"/>
      <c r="BY138" s="645"/>
      <c r="BZ138" s="645"/>
      <c r="CA138" s="645"/>
      <c r="CB138" s="645"/>
      <c r="CC138" s="645"/>
      <c r="CD138" s="645"/>
      <c r="CE138" s="645"/>
      <c r="CF138" s="645"/>
      <c r="CG138" s="645"/>
      <c r="CH138" s="645"/>
      <c r="CI138" s="645"/>
      <c r="CJ138" s="645"/>
      <c r="CK138" s="645"/>
      <c r="CL138" s="645"/>
      <c r="CM138" s="645"/>
      <c r="CN138" s="645"/>
      <c r="CO138" s="645"/>
      <c r="CP138" s="645"/>
      <c r="CQ138" s="645"/>
      <c r="CR138" s="645"/>
      <c r="CS138" s="645"/>
      <c r="CT138" s="645"/>
      <c r="CU138" s="645"/>
      <c r="CV138" s="645"/>
      <c r="CW138" s="645"/>
      <c r="CX138" s="645"/>
      <c r="CY138" s="645"/>
      <c r="CZ138" s="645"/>
      <c r="DA138" s="645"/>
      <c r="DB138" s="645"/>
      <c r="DC138" s="645"/>
      <c r="DD138" s="645"/>
      <c r="DE138" s="645"/>
      <c r="DF138" s="645"/>
      <c r="DG138" s="645"/>
      <c r="DH138" s="645"/>
      <c r="DI138" s="645"/>
      <c r="DJ138" s="645"/>
      <c r="DK138" s="645"/>
      <c r="DL138" s="645"/>
      <c r="DM138" s="645"/>
      <c r="DN138" s="645"/>
      <c r="DO138" s="645"/>
      <c r="DP138" s="645"/>
      <c r="DQ138" s="645"/>
      <c r="DR138" s="645"/>
      <c r="DS138" s="645"/>
      <c r="DT138" s="645"/>
      <c r="DU138" s="645"/>
      <c r="DV138" s="645"/>
      <c r="DW138" s="645"/>
      <c r="DX138" s="645"/>
      <c r="DY138" s="645"/>
      <c r="DZ138" s="645"/>
    </row>
    <row r="139" spans="1:130">
      <c r="A139" s="645"/>
      <c r="B139" s="645"/>
      <c r="C139" s="645"/>
      <c r="D139" s="645"/>
      <c r="E139" s="645"/>
      <c r="F139" s="645"/>
      <c r="G139" s="645"/>
      <c r="H139" s="645"/>
      <c r="I139" s="645"/>
      <c r="J139" s="645"/>
      <c r="K139" s="645"/>
      <c r="L139" s="645"/>
      <c r="M139" s="645"/>
      <c r="N139" s="645"/>
      <c r="O139" s="645"/>
      <c r="P139" s="645"/>
      <c r="Q139" s="645"/>
      <c r="R139" s="645"/>
      <c r="S139" s="645"/>
      <c r="T139" s="645"/>
      <c r="U139" s="645"/>
      <c r="V139" s="645"/>
      <c r="W139" s="645"/>
      <c r="X139" s="645"/>
      <c r="Y139" s="645"/>
      <c r="Z139" s="645"/>
      <c r="AA139" s="645"/>
      <c r="AB139" s="645"/>
      <c r="AC139" s="645"/>
      <c r="AD139" s="645"/>
      <c r="AE139" s="645"/>
      <c r="AF139" s="645"/>
      <c r="AG139" s="645"/>
      <c r="AH139" s="645"/>
      <c r="AI139" s="645"/>
      <c r="AJ139" s="645"/>
      <c r="AK139" s="645"/>
      <c r="AL139" s="645"/>
      <c r="AM139" s="645"/>
      <c r="AN139" s="645"/>
      <c r="AO139" s="645"/>
      <c r="AP139" s="645"/>
      <c r="AQ139" s="645"/>
      <c r="AR139" s="645"/>
      <c r="AS139" s="645"/>
      <c r="AT139" s="645"/>
      <c r="AU139" s="645"/>
      <c r="AV139" s="645"/>
      <c r="AW139" s="645"/>
      <c r="AX139" s="645"/>
      <c r="AY139" s="645"/>
      <c r="AZ139" s="645"/>
      <c r="BA139" s="645"/>
      <c r="BB139" s="645"/>
      <c r="BC139" s="645"/>
      <c r="BD139" s="645"/>
      <c r="BE139" s="645"/>
      <c r="BF139" s="645"/>
      <c r="BG139" s="645"/>
      <c r="BH139" s="645"/>
      <c r="BI139" s="645"/>
      <c r="BJ139" s="645"/>
      <c r="BK139" s="645"/>
      <c r="BL139" s="645"/>
      <c r="BM139" s="645"/>
      <c r="BN139" s="645"/>
      <c r="BO139" s="645"/>
      <c r="BP139" s="645"/>
      <c r="BQ139" s="645"/>
      <c r="BR139" s="645"/>
      <c r="BS139" s="645"/>
      <c r="BT139" s="645"/>
      <c r="BU139" s="645"/>
      <c r="BV139" s="645"/>
      <c r="BW139" s="645"/>
      <c r="BX139" s="645"/>
      <c r="BY139" s="645"/>
      <c r="BZ139" s="645"/>
      <c r="CA139" s="645"/>
      <c r="CB139" s="645"/>
      <c r="CC139" s="645"/>
      <c r="CD139" s="645"/>
      <c r="CE139" s="645"/>
      <c r="CF139" s="645"/>
      <c r="CG139" s="645"/>
      <c r="CH139" s="645"/>
      <c r="CI139" s="645"/>
      <c r="CJ139" s="645"/>
      <c r="CK139" s="645"/>
      <c r="CL139" s="645"/>
      <c r="CM139" s="645"/>
      <c r="CN139" s="645"/>
      <c r="CO139" s="645"/>
      <c r="CP139" s="645"/>
      <c r="CQ139" s="645"/>
      <c r="CR139" s="645"/>
      <c r="CS139" s="645"/>
      <c r="CT139" s="645"/>
      <c r="CU139" s="645"/>
      <c r="CV139" s="645"/>
      <c r="CW139" s="645"/>
      <c r="CX139" s="645"/>
      <c r="CY139" s="645"/>
      <c r="CZ139" s="645"/>
      <c r="DA139" s="645"/>
      <c r="DB139" s="645"/>
      <c r="DC139" s="645"/>
      <c r="DD139" s="645"/>
      <c r="DE139" s="645"/>
      <c r="DF139" s="645"/>
      <c r="DG139" s="645"/>
      <c r="DH139" s="645"/>
      <c r="DI139" s="645"/>
      <c r="DJ139" s="645"/>
      <c r="DK139" s="645"/>
      <c r="DL139" s="645"/>
      <c r="DM139" s="645"/>
      <c r="DN139" s="645"/>
      <c r="DO139" s="645"/>
      <c r="DP139" s="645"/>
      <c r="DQ139" s="645"/>
      <c r="DR139" s="645"/>
      <c r="DS139" s="645"/>
      <c r="DT139" s="645"/>
      <c r="DU139" s="645"/>
      <c r="DV139" s="645"/>
      <c r="DW139" s="645"/>
      <c r="DX139" s="645"/>
      <c r="DY139" s="645"/>
      <c r="DZ139" s="645"/>
    </row>
    <row r="140" spans="1:130">
      <c r="A140" s="645"/>
      <c r="B140" s="645"/>
      <c r="C140" s="645"/>
      <c r="D140" s="645"/>
      <c r="E140" s="645"/>
      <c r="F140" s="645"/>
      <c r="G140" s="645"/>
      <c r="H140" s="645"/>
      <c r="I140" s="645"/>
      <c r="J140" s="645"/>
      <c r="K140" s="645"/>
      <c r="L140" s="645"/>
      <c r="M140" s="645"/>
      <c r="N140" s="645"/>
      <c r="O140" s="645"/>
      <c r="P140" s="645"/>
      <c r="Q140" s="645"/>
      <c r="R140" s="645"/>
      <c r="S140" s="645"/>
      <c r="T140" s="645"/>
      <c r="U140" s="645"/>
      <c r="V140" s="645"/>
      <c r="W140" s="645"/>
      <c r="X140" s="645"/>
      <c r="Y140" s="645"/>
      <c r="Z140" s="645"/>
      <c r="AA140" s="645"/>
      <c r="AB140" s="645"/>
      <c r="AC140" s="645"/>
      <c r="AD140" s="645"/>
      <c r="AE140" s="645"/>
      <c r="AF140" s="645"/>
      <c r="AG140" s="645"/>
      <c r="AH140" s="645"/>
      <c r="AI140" s="645"/>
      <c r="AJ140" s="645"/>
      <c r="AK140" s="645"/>
      <c r="AL140" s="645"/>
      <c r="AM140" s="645"/>
      <c r="AN140" s="645"/>
      <c r="AO140" s="645"/>
      <c r="AP140" s="645"/>
      <c r="AQ140" s="645"/>
      <c r="AR140" s="645"/>
      <c r="AS140" s="645"/>
      <c r="AT140" s="645"/>
      <c r="AU140" s="645"/>
      <c r="AV140" s="645"/>
      <c r="AW140" s="645"/>
      <c r="AX140" s="645"/>
      <c r="AY140" s="645"/>
      <c r="AZ140" s="645"/>
      <c r="BA140" s="645"/>
      <c r="BB140" s="645"/>
      <c r="BC140" s="645"/>
      <c r="BD140" s="645"/>
      <c r="BE140" s="645"/>
      <c r="BF140" s="645"/>
      <c r="BG140" s="645"/>
      <c r="BH140" s="645"/>
      <c r="BI140" s="645"/>
      <c r="BJ140" s="645"/>
      <c r="BK140" s="645"/>
      <c r="BL140" s="645"/>
      <c r="BM140" s="645"/>
      <c r="BN140" s="645"/>
      <c r="BO140" s="645"/>
      <c r="BP140" s="645"/>
      <c r="BQ140" s="645"/>
      <c r="BR140" s="645"/>
      <c r="BS140" s="645"/>
      <c r="BT140" s="645"/>
      <c r="BU140" s="645"/>
      <c r="BV140" s="645"/>
      <c r="BW140" s="645"/>
      <c r="BX140" s="645"/>
      <c r="BY140" s="645"/>
      <c r="BZ140" s="645"/>
      <c r="CA140" s="645"/>
      <c r="CB140" s="645"/>
      <c r="CC140" s="645"/>
      <c r="CD140" s="645"/>
      <c r="CE140" s="645"/>
      <c r="CF140" s="645"/>
      <c r="CG140" s="645"/>
      <c r="CH140" s="645"/>
      <c r="CI140" s="645"/>
      <c r="CJ140" s="645"/>
      <c r="CK140" s="645"/>
      <c r="CL140" s="645"/>
      <c r="CM140" s="645"/>
      <c r="CN140" s="645"/>
      <c r="CO140" s="645"/>
      <c r="CP140" s="645"/>
      <c r="CQ140" s="645"/>
      <c r="CR140" s="645"/>
      <c r="CS140" s="645"/>
      <c r="CT140" s="645"/>
      <c r="CU140" s="645"/>
      <c r="CV140" s="645"/>
      <c r="CW140" s="645"/>
      <c r="CX140" s="645"/>
      <c r="CY140" s="645"/>
      <c r="CZ140" s="645"/>
      <c r="DA140" s="645"/>
      <c r="DB140" s="645"/>
      <c r="DC140" s="645"/>
      <c r="DD140" s="645"/>
      <c r="DE140" s="645"/>
      <c r="DF140" s="645"/>
      <c r="DG140" s="645"/>
      <c r="DH140" s="645"/>
      <c r="DI140" s="645"/>
      <c r="DJ140" s="645"/>
      <c r="DK140" s="645"/>
      <c r="DL140" s="645"/>
      <c r="DM140" s="645"/>
      <c r="DN140" s="645"/>
      <c r="DO140" s="645"/>
      <c r="DP140" s="645"/>
      <c r="DQ140" s="645"/>
      <c r="DR140" s="645"/>
      <c r="DS140" s="645"/>
      <c r="DT140" s="645"/>
      <c r="DU140" s="645"/>
      <c r="DV140" s="645"/>
      <c r="DW140" s="645"/>
      <c r="DX140" s="645"/>
      <c r="DY140" s="645"/>
      <c r="DZ140" s="645"/>
    </row>
    <row r="141" spans="1:130">
      <c r="A141" s="645"/>
      <c r="B141" s="645"/>
      <c r="C141" s="645"/>
      <c r="D141" s="645"/>
      <c r="E141" s="645"/>
      <c r="F141" s="645"/>
      <c r="G141" s="645"/>
      <c r="H141" s="645"/>
      <c r="I141" s="645"/>
      <c r="J141" s="645"/>
      <c r="K141" s="645"/>
      <c r="L141" s="645"/>
      <c r="M141" s="645"/>
      <c r="N141" s="645"/>
      <c r="O141" s="645"/>
      <c r="P141" s="645"/>
      <c r="Q141" s="645"/>
      <c r="R141" s="645"/>
      <c r="S141" s="645"/>
      <c r="T141" s="645"/>
      <c r="U141" s="645"/>
      <c r="V141" s="645"/>
      <c r="W141" s="645"/>
      <c r="X141" s="645"/>
      <c r="Y141" s="645"/>
      <c r="Z141" s="645"/>
      <c r="AA141" s="645"/>
      <c r="AB141" s="645"/>
      <c r="AC141" s="645"/>
      <c r="AD141" s="645"/>
      <c r="AE141" s="645"/>
      <c r="AF141" s="645"/>
      <c r="AG141" s="645"/>
      <c r="AH141" s="645"/>
      <c r="AI141" s="645"/>
      <c r="AJ141" s="645"/>
      <c r="AK141" s="645"/>
      <c r="AL141" s="645"/>
      <c r="AM141" s="645"/>
      <c r="AN141" s="645"/>
      <c r="AO141" s="645"/>
      <c r="AP141" s="645"/>
      <c r="AQ141" s="645"/>
      <c r="AR141" s="645"/>
      <c r="AS141" s="645"/>
      <c r="AT141" s="645"/>
      <c r="AU141" s="645"/>
      <c r="AV141" s="645"/>
      <c r="AW141" s="645"/>
      <c r="AX141" s="645"/>
      <c r="AY141" s="645"/>
      <c r="AZ141" s="645"/>
      <c r="BA141" s="645"/>
      <c r="BB141" s="645"/>
      <c r="BC141" s="645"/>
      <c r="BD141" s="645"/>
      <c r="BE141" s="645"/>
      <c r="BF141" s="645"/>
      <c r="BG141" s="645"/>
      <c r="BH141" s="645"/>
      <c r="BI141" s="645"/>
      <c r="BJ141" s="645"/>
      <c r="BK141" s="645"/>
      <c r="BL141" s="645"/>
      <c r="BM141" s="645"/>
      <c r="BN141" s="645"/>
      <c r="BO141" s="645"/>
      <c r="BP141" s="645"/>
      <c r="BQ141" s="645"/>
      <c r="BR141" s="645"/>
      <c r="BS141" s="645"/>
      <c r="BT141" s="645"/>
      <c r="BU141" s="645"/>
      <c r="BV141" s="645"/>
      <c r="BW141" s="645"/>
      <c r="BX141" s="645"/>
      <c r="BY141" s="645"/>
      <c r="BZ141" s="645"/>
      <c r="CA141" s="645"/>
      <c r="CB141" s="645"/>
      <c r="CC141" s="645"/>
      <c r="CD141" s="645"/>
      <c r="CE141" s="645"/>
      <c r="CF141" s="645"/>
      <c r="CG141" s="645"/>
      <c r="CH141" s="645"/>
      <c r="CI141" s="645"/>
      <c r="CJ141" s="645"/>
      <c r="CK141" s="645"/>
      <c r="CL141" s="645"/>
      <c r="CM141" s="645"/>
      <c r="CN141" s="645"/>
      <c r="CO141" s="645"/>
      <c r="CP141" s="645"/>
      <c r="CQ141" s="645"/>
      <c r="CR141" s="645"/>
      <c r="CS141" s="645"/>
      <c r="CT141" s="645"/>
      <c r="CU141" s="645"/>
      <c r="CV141" s="645"/>
      <c r="CW141" s="645"/>
      <c r="CX141" s="645"/>
      <c r="CY141" s="645"/>
      <c r="CZ141" s="645"/>
      <c r="DA141" s="645"/>
      <c r="DB141" s="645"/>
      <c r="DC141" s="645"/>
      <c r="DD141" s="645"/>
      <c r="DE141" s="645"/>
      <c r="DF141" s="645"/>
      <c r="DG141" s="645"/>
      <c r="DH141" s="645"/>
      <c r="DI141" s="645"/>
      <c r="DJ141" s="645"/>
      <c r="DK141" s="645"/>
      <c r="DL141" s="645"/>
      <c r="DM141" s="645"/>
      <c r="DN141" s="645"/>
      <c r="DO141" s="645"/>
      <c r="DP141" s="645"/>
      <c r="DQ141" s="645"/>
      <c r="DR141" s="645"/>
      <c r="DS141" s="645"/>
      <c r="DT141" s="645"/>
      <c r="DU141" s="645"/>
      <c r="DV141" s="645"/>
      <c r="DW141" s="645"/>
      <c r="DX141" s="645"/>
      <c r="DY141" s="645"/>
      <c r="DZ141" s="645"/>
    </row>
    <row r="142" spans="1:130">
      <c r="A142" s="645"/>
      <c r="B142" s="645"/>
      <c r="C142" s="645"/>
      <c r="D142" s="645"/>
      <c r="E142" s="645"/>
      <c r="F142" s="645"/>
      <c r="G142" s="645"/>
      <c r="H142" s="645"/>
      <c r="I142" s="645"/>
      <c r="J142" s="645"/>
      <c r="K142" s="645"/>
      <c r="L142" s="645"/>
      <c r="M142" s="645"/>
      <c r="N142" s="645"/>
      <c r="O142" s="645"/>
      <c r="P142" s="645"/>
      <c r="Q142" s="645"/>
      <c r="R142" s="645"/>
      <c r="S142" s="645"/>
      <c r="T142" s="645"/>
      <c r="U142" s="645"/>
      <c r="V142" s="645"/>
      <c r="W142" s="645"/>
      <c r="X142" s="645"/>
      <c r="Y142" s="645"/>
      <c r="Z142" s="645"/>
      <c r="AA142" s="645"/>
      <c r="AB142" s="645"/>
      <c r="AC142" s="645"/>
      <c r="AD142" s="645"/>
      <c r="AE142" s="645"/>
      <c r="AF142" s="645"/>
      <c r="AG142" s="645"/>
      <c r="AH142" s="645"/>
      <c r="AI142" s="645"/>
      <c r="AJ142" s="645"/>
      <c r="AK142" s="645"/>
      <c r="AL142" s="645"/>
      <c r="AM142" s="645"/>
      <c r="AN142" s="645"/>
      <c r="AO142" s="645"/>
      <c r="AP142" s="645"/>
      <c r="AQ142" s="645"/>
      <c r="AR142" s="645"/>
      <c r="AS142" s="645"/>
      <c r="AT142" s="645"/>
      <c r="AU142" s="645"/>
      <c r="AV142" s="645"/>
      <c r="AW142" s="645"/>
      <c r="AX142" s="645"/>
      <c r="AY142" s="645"/>
      <c r="AZ142" s="645"/>
      <c r="BA142" s="645"/>
      <c r="BB142" s="645"/>
      <c r="BC142" s="645"/>
      <c r="BD142" s="645"/>
      <c r="BE142" s="645"/>
      <c r="BF142" s="645"/>
      <c r="BG142" s="645"/>
      <c r="BH142" s="645"/>
      <c r="BI142" s="645"/>
      <c r="BJ142" s="645"/>
      <c r="BK142" s="645"/>
      <c r="BL142" s="645"/>
      <c r="BM142" s="645"/>
      <c r="BN142" s="645"/>
      <c r="BO142" s="645"/>
      <c r="BP142" s="645"/>
      <c r="BQ142" s="645"/>
      <c r="BR142" s="645"/>
      <c r="BS142" s="645"/>
      <c r="BT142" s="645"/>
      <c r="BU142" s="645"/>
      <c r="BV142" s="645"/>
      <c r="BW142" s="645"/>
      <c r="BX142" s="645"/>
      <c r="BY142" s="645"/>
      <c r="BZ142" s="645"/>
      <c r="CA142" s="645"/>
      <c r="CB142" s="645"/>
      <c r="CC142" s="645"/>
      <c r="CD142" s="645"/>
      <c r="CE142" s="645"/>
      <c r="CF142" s="645"/>
      <c r="CG142" s="645"/>
      <c r="CH142" s="645"/>
      <c r="CI142" s="645"/>
      <c r="CJ142" s="645"/>
      <c r="CK142" s="645"/>
      <c r="CL142" s="645"/>
      <c r="CM142" s="645"/>
      <c r="CN142" s="645"/>
      <c r="CO142" s="645"/>
      <c r="CP142" s="645"/>
      <c r="CQ142" s="645"/>
      <c r="CR142" s="645"/>
      <c r="CS142" s="645"/>
      <c r="CT142" s="645"/>
      <c r="CU142" s="645"/>
      <c r="CV142" s="645"/>
      <c r="CW142" s="645"/>
      <c r="CX142" s="645"/>
      <c r="CY142" s="645"/>
      <c r="CZ142" s="645"/>
      <c r="DA142" s="645"/>
      <c r="DB142" s="645"/>
      <c r="DC142" s="645"/>
      <c r="DD142" s="645"/>
      <c r="DE142" s="645"/>
      <c r="DF142" s="645"/>
      <c r="DG142" s="645"/>
      <c r="DH142" s="645"/>
      <c r="DI142" s="645"/>
      <c r="DJ142" s="645"/>
      <c r="DK142" s="645"/>
      <c r="DL142" s="645"/>
      <c r="DM142" s="645"/>
      <c r="DN142" s="645"/>
      <c r="DO142" s="645"/>
      <c r="DP142" s="645"/>
      <c r="DQ142" s="645"/>
      <c r="DR142" s="645"/>
      <c r="DS142" s="645"/>
      <c r="DT142" s="645"/>
      <c r="DU142" s="645"/>
      <c r="DV142" s="645"/>
      <c r="DW142" s="645"/>
      <c r="DX142" s="645"/>
      <c r="DY142" s="645"/>
      <c r="DZ142" s="645"/>
    </row>
    <row r="143" spans="1:130">
      <c r="A143" s="645"/>
      <c r="B143" s="645"/>
      <c r="C143" s="645"/>
      <c r="D143" s="645"/>
      <c r="E143" s="645"/>
      <c r="F143" s="645"/>
      <c r="G143" s="645"/>
      <c r="H143" s="645"/>
      <c r="I143" s="645"/>
      <c r="J143" s="645"/>
      <c r="K143" s="645"/>
      <c r="L143" s="645"/>
      <c r="M143" s="645"/>
      <c r="N143" s="645"/>
      <c r="O143" s="645"/>
      <c r="P143" s="645"/>
      <c r="Q143" s="645"/>
      <c r="R143" s="645"/>
      <c r="S143" s="645"/>
      <c r="T143" s="645"/>
      <c r="U143" s="645"/>
      <c r="V143" s="645"/>
      <c r="W143" s="645"/>
      <c r="X143" s="645"/>
      <c r="Y143" s="645"/>
      <c r="Z143" s="645"/>
      <c r="AA143" s="645"/>
      <c r="AB143" s="645"/>
      <c r="AC143" s="645"/>
      <c r="AD143" s="645"/>
      <c r="AE143" s="645"/>
      <c r="AF143" s="645"/>
      <c r="AG143" s="645"/>
      <c r="AH143" s="645"/>
      <c r="AI143" s="645"/>
      <c r="AJ143" s="645"/>
      <c r="AK143" s="645"/>
      <c r="AL143" s="645"/>
      <c r="AM143" s="645"/>
      <c r="AN143" s="645"/>
      <c r="AO143" s="645"/>
      <c r="AP143" s="645"/>
      <c r="AQ143" s="645"/>
      <c r="AR143" s="645"/>
      <c r="AS143" s="645"/>
      <c r="AT143" s="645"/>
      <c r="AU143" s="645"/>
      <c r="AV143" s="645"/>
      <c r="AW143" s="645"/>
      <c r="AX143" s="645"/>
      <c r="AY143" s="645"/>
      <c r="AZ143" s="645"/>
      <c r="BA143" s="645"/>
      <c r="BB143" s="645"/>
      <c r="BC143" s="645"/>
      <c r="BD143" s="645"/>
      <c r="BE143" s="645"/>
      <c r="BF143" s="645"/>
      <c r="BG143" s="645"/>
      <c r="BH143" s="645"/>
      <c r="BI143" s="645"/>
      <c r="BJ143" s="645"/>
      <c r="BK143" s="645"/>
      <c r="BL143" s="645"/>
      <c r="BM143" s="645"/>
      <c r="BN143" s="645"/>
      <c r="BO143" s="645"/>
      <c r="BP143" s="645"/>
      <c r="BQ143" s="645"/>
      <c r="BR143" s="645"/>
      <c r="BS143" s="645"/>
      <c r="BT143" s="645"/>
      <c r="BU143" s="645"/>
      <c r="BV143" s="645"/>
      <c r="BW143" s="645"/>
      <c r="BX143" s="645"/>
      <c r="BY143" s="645"/>
      <c r="BZ143" s="645"/>
      <c r="CA143" s="645"/>
      <c r="CB143" s="645"/>
      <c r="CC143" s="645"/>
      <c r="CD143" s="645"/>
      <c r="CE143" s="645"/>
      <c r="CF143" s="645"/>
      <c r="CG143" s="645"/>
      <c r="CH143" s="645"/>
      <c r="CI143" s="645"/>
      <c r="CJ143" s="645"/>
      <c r="CK143" s="645"/>
      <c r="CL143" s="645"/>
      <c r="CM143" s="645"/>
      <c r="CN143" s="645"/>
      <c r="CO143" s="645"/>
      <c r="CP143" s="645"/>
      <c r="CQ143" s="645"/>
      <c r="CR143" s="645"/>
      <c r="CS143" s="645"/>
      <c r="CT143" s="645"/>
      <c r="CU143" s="645"/>
      <c r="CV143" s="645"/>
      <c r="CW143" s="645"/>
      <c r="CX143" s="645"/>
      <c r="CY143" s="645"/>
      <c r="CZ143" s="645"/>
      <c r="DA143" s="645"/>
      <c r="DB143" s="645"/>
      <c r="DC143" s="645"/>
      <c r="DD143" s="645"/>
      <c r="DE143" s="645"/>
      <c r="DF143" s="645"/>
      <c r="DG143" s="645"/>
      <c r="DH143" s="645"/>
      <c r="DI143" s="645"/>
      <c r="DJ143" s="645"/>
      <c r="DK143" s="645"/>
      <c r="DL143" s="645"/>
      <c r="DM143" s="645"/>
      <c r="DN143" s="645"/>
      <c r="DO143" s="645"/>
      <c r="DP143" s="645"/>
      <c r="DQ143" s="645"/>
      <c r="DR143" s="645"/>
      <c r="DS143" s="645"/>
      <c r="DT143" s="645"/>
      <c r="DU143" s="645"/>
      <c r="DV143" s="645"/>
      <c r="DW143" s="645"/>
      <c r="DX143" s="645"/>
      <c r="DY143" s="645"/>
      <c r="DZ143" s="645"/>
    </row>
    <row r="144" spans="1:130">
      <c r="A144" s="645"/>
      <c r="B144" s="645"/>
      <c r="C144" s="645"/>
      <c r="D144" s="645"/>
      <c r="E144" s="645"/>
      <c r="F144" s="645"/>
      <c r="G144" s="645"/>
      <c r="H144" s="645"/>
      <c r="I144" s="645"/>
      <c r="J144" s="645"/>
      <c r="K144" s="645"/>
      <c r="L144" s="645"/>
      <c r="M144" s="645"/>
      <c r="N144" s="645"/>
      <c r="O144" s="645"/>
      <c r="P144" s="645"/>
      <c r="Q144" s="645"/>
      <c r="R144" s="645"/>
      <c r="S144" s="645"/>
      <c r="T144" s="645"/>
      <c r="U144" s="645"/>
      <c r="V144" s="645"/>
      <c r="W144" s="645"/>
      <c r="X144" s="645"/>
      <c r="Y144" s="645"/>
      <c r="Z144" s="645"/>
      <c r="AA144" s="645"/>
      <c r="AB144" s="645"/>
      <c r="AC144" s="645"/>
      <c r="AD144" s="645"/>
      <c r="AE144" s="645"/>
      <c r="AF144" s="645"/>
      <c r="AG144" s="645"/>
      <c r="AH144" s="645"/>
      <c r="AI144" s="645"/>
      <c r="AJ144" s="645"/>
      <c r="AK144" s="645"/>
      <c r="AL144" s="645"/>
      <c r="AM144" s="645"/>
      <c r="AN144" s="645"/>
      <c r="AO144" s="645"/>
      <c r="AP144" s="645"/>
      <c r="AQ144" s="645"/>
      <c r="AR144" s="645"/>
      <c r="AS144" s="645"/>
      <c r="AT144" s="645"/>
      <c r="AU144" s="645"/>
      <c r="AV144" s="645"/>
      <c r="AW144" s="645"/>
      <c r="AX144" s="645"/>
      <c r="AY144" s="645"/>
      <c r="AZ144" s="645"/>
      <c r="BA144" s="645"/>
      <c r="BB144" s="645"/>
      <c r="BC144" s="645"/>
      <c r="BD144" s="645"/>
      <c r="BE144" s="645"/>
      <c r="BF144" s="645"/>
      <c r="BG144" s="645"/>
      <c r="BH144" s="645"/>
      <c r="BI144" s="645"/>
      <c r="BJ144" s="645"/>
      <c r="BK144" s="645"/>
      <c r="BL144" s="645"/>
      <c r="BM144" s="645"/>
      <c r="BN144" s="645"/>
      <c r="BO144" s="645"/>
      <c r="BP144" s="645"/>
      <c r="BQ144" s="645"/>
      <c r="BR144" s="645"/>
      <c r="BS144" s="645"/>
      <c r="BT144" s="645"/>
      <c r="BU144" s="645"/>
      <c r="BV144" s="645"/>
      <c r="BW144" s="645"/>
      <c r="BX144" s="645"/>
      <c r="BY144" s="645"/>
      <c r="BZ144" s="645"/>
      <c r="CA144" s="645"/>
      <c r="CB144" s="645"/>
      <c r="CC144" s="645"/>
      <c r="CD144" s="645"/>
      <c r="CE144" s="645"/>
      <c r="CF144" s="645"/>
      <c r="CG144" s="645"/>
      <c r="CH144" s="645"/>
      <c r="CI144" s="645"/>
      <c r="CJ144" s="645"/>
      <c r="CK144" s="645"/>
      <c r="CL144" s="645"/>
      <c r="CM144" s="645"/>
      <c r="CN144" s="645"/>
      <c r="CO144" s="645"/>
      <c r="CP144" s="645"/>
      <c r="CQ144" s="645"/>
      <c r="CR144" s="645"/>
      <c r="CS144" s="645"/>
      <c r="CT144" s="645"/>
      <c r="CU144" s="645"/>
      <c r="CV144" s="645"/>
      <c r="CW144" s="645"/>
      <c r="CX144" s="645"/>
      <c r="CY144" s="645"/>
      <c r="CZ144" s="645"/>
      <c r="DA144" s="645"/>
      <c r="DB144" s="645"/>
      <c r="DC144" s="645"/>
      <c r="DD144" s="645"/>
      <c r="DE144" s="645"/>
      <c r="DF144" s="645"/>
      <c r="DG144" s="645"/>
      <c r="DH144" s="645"/>
      <c r="DI144" s="645"/>
      <c r="DJ144" s="645"/>
      <c r="DK144" s="645"/>
      <c r="DL144" s="645"/>
      <c r="DM144" s="645"/>
      <c r="DN144" s="645"/>
      <c r="DO144" s="645"/>
      <c r="DP144" s="645"/>
      <c r="DQ144" s="645"/>
      <c r="DR144" s="645"/>
      <c r="DS144" s="645"/>
      <c r="DT144" s="645"/>
      <c r="DU144" s="645"/>
      <c r="DV144" s="645"/>
      <c r="DW144" s="645"/>
      <c r="DX144" s="645"/>
      <c r="DY144" s="645"/>
      <c r="DZ144" s="645"/>
    </row>
    <row r="145" spans="1:130">
      <c r="A145" s="645"/>
      <c r="B145" s="645"/>
      <c r="C145" s="645"/>
      <c r="D145" s="645"/>
      <c r="E145" s="645"/>
      <c r="F145" s="645"/>
      <c r="G145" s="645"/>
      <c r="H145" s="645"/>
      <c r="I145" s="645"/>
      <c r="J145" s="645"/>
      <c r="K145" s="645"/>
      <c r="L145" s="645"/>
      <c r="M145" s="645"/>
      <c r="N145" s="645"/>
      <c r="O145" s="645"/>
      <c r="P145" s="645"/>
      <c r="Q145" s="645"/>
      <c r="R145" s="645"/>
      <c r="S145" s="645"/>
      <c r="T145" s="645"/>
      <c r="U145" s="645"/>
      <c r="V145" s="645"/>
      <c r="W145" s="645"/>
      <c r="X145" s="645"/>
      <c r="Y145" s="645"/>
      <c r="Z145" s="645"/>
      <c r="AA145" s="645"/>
      <c r="AB145" s="645"/>
      <c r="AC145" s="645"/>
      <c r="AD145" s="645"/>
      <c r="AE145" s="645"/>
      <c r="AF145" s="645"/>
      <c r="AG145" s="645"/>
      <c r="AH145" s="645"/>
      <c r="AI145" s="645"/>
      <c r="AJ145" s="645"/>
      <c r="AK145" s="645"/>
      <c r="AL145" s="645"/>
      <c r="AM145" s="645"/>
      <c r="AN145" s="645"/>
      <c r="AO145" s="645"/>
      <c r="AP145" s="645"/>
      <c r="AQ145" s="645"/>
      <c r="AR145" s="645"/>
      <c r="AS145" s="645"/>
      <c r="AT145" s="645"/>
      <c r="AU145" s="645"/>
      <c r="AV145" s="645"/>
      <c r="AW145" s="645"/>
      <c r="AX145" s="645"/>
      <c r="AY145" s="645"/>
      <c r="AZ145" s="645"/>
      <c r="BA145" s="645"/>
      <c r="BB145" s="645"/>
      <c r="BC145" s="645"/>
      <c r="BD145" s="645"/>
      <c r="BE145" s="645"/>
      <c r="BF145" s="645"/>
      <c r="BG145" s="645"/>
      <c r="BH145" s="645"/>
      <c r="BI145" s="645"/>
      <c r="BJ145" s="645"/>
      <c r="BK145" s="645"/>
      <c r="BL145" s="645"/>
      <c r="BM145" s="645"/>
      <c r="BN145" s="645"/>
      <c r="BO145" s="645"/>
      <c r="BP145" s="645"/>
      <c r="BQ145" s="645"/>
      <c r="BR145" s="645"/>
      <c r="BS145" s="645"/>
      <c r="BT145" s="645"/>
      <c r="BU145" s="645"/>
      <c r="BV145" s="645"/>
      <c r="BW145" s="645"/>
      <c r="BX145" s="645"/>
      <c r="BY145" s="645"/>
      <c r="BZ145" s="645"/>
      <c r="CA145" s="645"/>
      <c r="CB145" s="645"/>
      <c r="CC145" s="645"/>
      <c r="CD145" s="645"/>
      <c r="CE145" s="645"/>
      <c r="CF145" s="645"/>
      <c r="CG145" s="645"/>
      <c r="CH145" s="645"/>
      <c r="CI145" s="645"/>
      <c r="CJ145" s="645"/>
      <c r="CK145" s="645"/>
      <c r="CL145" s="645"/>
      <c r="CM145" s="645"/>
      <c r="CN145" s="645"/>
      <c r="CO145" s="645"/>
      <c r="CP145" s="645"/>
      <c r="CQ145" s="645"/>
      <c r="CR145" s="645"/>
      <c r="CS145" s="645"/>
      <c r="CT145" s="645"/>
      <c r="CU145" s="645"/>
      <c r="CV145" s="645"/>
      <c r="CW145" s="645"/>
      <c r="CX145" s="645"/>
      <c r="CY145" s="645"/>
      <c r="CZ145" s="645"/>
      <c r="DA145" s="645"/>
      <c r="DB145" s="645"/>
      <c r="DC145" s="645"/>
      <c r="DD145" s="645"/>
      <c r="DE145" s="645"/>
      <c r="DF145" s="645"/>
      <c r="DG145" s="645"/>
      <c r="DH145" s="645"/>
      <c r="DI145" s="645"/>
      <c r="DJ145" s="645"/>
      <c r="DK145" s="645"/>
      <c r="DL145" s="645"/>
      <c r="DM145" s="645"/>
      <c r="DN145" s="645"/>
      <c r="DO145" s="645"/>
      <c r="DP145" s="645"/>
      <c r="DQ145" s="645"/>
      <c r="DR145" s="645"/>
      <c r="DS145" s="645"/>
      <c r="DT145" s="645"/>
      <c r="DU145" s="645"/>
      <c r="DV145" s="645"/>
      <c r="DW145" s="645"/>
      <c r="DX145" s="645"/>
      <c r="DY145" s="645"/>
      <c r="DZ145" s="645"/>
    </row>
    <row r="146" spans="1:130">
      <c r="A146" s="645"/>
      <c r="B146" s="645"/>
      <c r="C146" s="645"/>
      <c r="D146" s="645"/>
      <c r="E146" s="645"/>
      <c r="F146" s="645"/>
      <c r="G146" s="645"/>
      <c r="H146" s="645"/>
      <c r="I146" s="645"/>
      <c r="J146" s="645"/>
      <c r="K146" s="645"/>
      <c r="L146" s="645"/>
      <c r="M146" s="645"/>
      <c r="N146" s="645"/>
      <c r="O146" s="645"/>
      <c r="P146" s="645"/>
      <c r="Q146" s="645"/>
      <c r="R146" s="645"/>
      <c r="S146" s="645"/>
      <c r="T146" s="645"/>
      <c r="U146" s="645"/>
      <c r="V146" s="645"/>
      <c r="W146" s="645"/>
      <c r="X146" s="645"/>
      <c r="Y146" s="645"/>
      <c r="Z146" s="645"/>
      <c r="AA146" s="645"/>
      <c r="AB146" s="645"/>
      <c r="AC146" s="645"/>
      <c r="AD146" s="645"/>
      <c r="AE146" s="645"/>
      <c r="AF146" s="645"/>
      <c r="AG146" s="645"/>
      <c r="AH146" s="645"/>
      <c r="AI146" s="645"/>
      <c r="AJ146" s="645"/>
      <c r="AK146" s="645"/>
      <c r="AL146" s="645"/>
      <c r="AM146" s="645"/>
      <c r="AN146" s="645"/>
      <c r="AO146" s="645"/>
      <c r="AP146" s="645"/>
      <c r="AQ146" s="645"/>
      <c r="AR146" s="645"/>
      <c r="AS146" s="645"/>
      <c r="AT146" s="645"/>
      <c r="AU146" s="645"/>
      <c r="AV146" s="645"/>
      <c r="AW146" s="645"/>
      <c r="AX146" s="645"/>
      <c r="AY146" s="645"/>
      <c r="AZ146" s="645"/>
      <c r="BA146" s="645"/>
      <c r="BB146" s="645"/>
      <c r="BC146" s="645"/>
      <c r="BD146" s="645"/>
      <c r="BE146" s="645"/>
      <c r="BF146" s="645"/>
      <c r="BG146" s="645"/>
      <c r="BH146" s="645"/>
      <c r="BI146" s="645"/>
      <c r="BJ146" s="645"/>
      <c r="BK146" s="645"/>
      <c r="BL146" s="645"/>
      <c r="BM146" s="645"/>
      <c r="BN146" s="645"/>
      <c r="BO146" s="645"/>
      <c r="BP146" s="645"/>
      <c r="BQ146" s="645"/>
      <c r="BR146" s="645"/>
      <c r="BS146" s="645"/>
      <c r="BT146" s="645"/>
      <c r="BU146" s="645"/>
      <c r="BV146" s="645"/>
      <c r="BW146" s="645"/>
      <c r="BX146" s="645"/>
      <c r="BY146" s="645"/>
      <c r="BZ146" s="645"/>
      <c r="CA146" s="645"/>
      <c r="CB146" s="645"/>
      <c r="CC146" s="645"/>
      <c r="CD146" s="645"/>
      <c r="CE146" s="645"/>
      <c r="CF146" s="645"/>
      <c r="CG146" s="645"/>
      <c r="CH146" s="645"/>
      <c r="CI146" s="645"/>
      <c r="CJ146" s="645"/>
      <c r="CK146" s="645"/>
      <c r="CL146" s="645"/>
      <c r="CM146" s="645"/>
      <c r="CN146" s="645"/>
      <c r="CO146" s="645"/>
      <c r="CP146" s="645"/>
      <c r="CQ146" s="645"/>
      <c r="CR146" s="645"/>
      <c r="CS146" s="645"/>
      <c r="CT146" s="645"/>
      <c r="CU146" s="645"/>
      <c r="CV146" s="645"/>
      <c r="CW146" s="645"/>
      <c r="CX146" s="645"/>
      <c r="CY146" s="645"/>
      <c r="CZ146" s="645"/>
      <c r="DA146" s="645"/>
      <c r="DB146" s="645"/>
      <c r="DC146" s="645"/>
      <c r="DD146" s="645"/>
      <c r="DE146" s="645"/>
      <c r="DF146" s="645"/>
      <c r="DG146" s="645"/>
      <c r="DH146" s="645"/>
      <c r="DI146" s="645"/>
      <c r="DJ146" s="645"/>
      <c r="DK146" s="645"/>
      <c r="DL146" s="645"/>
      <c r="DM146" s="645"/>
      <c r="DN146" s="645"/>
      <c r="DO146" s="645"/>
      <c r="DP146" s="645"/>
      <c r="DQ146" s="645"/>
      <c r="DR146" s="645"/>
      <c r="DS146" s="645"/>
      <c r="DT146" s="645"/>
      <c r="DU146" s="645"/>
      <c r="DV146" s="645"/>
      <c r="DW146" s="645"/>
      <c r="DX146" s="645"/>
      <c r="DY146" s="645"/>
      <c r="DZ146" s="645"/>
    </row>
    <row r="147" spans="1:130">
      <c r="A147" s="645"/>
      <c r="B147" s="645"/>
      <c r="C147" s="645"/>
      <c r="D147" s="645"/>
      <c r="E147" s="645"/>
      <c r="F147" s="645"/>
      <c r="G147" s="645"/>
      <c r="H147" s="645"/>
      <c r="I147" s="645"/>
      <c r="J147" s="645"/>
      <c r="K147" s="645"/>
      <c r="L147" s="645"/>
      <c r="M147" s="645"/>
      <c r="N147" s="645"/>
      <c r="O147" s="645"/>
      <c r="P147" s="645"/>
      <c r="Q147" s="645"/>
      <c r="R147" s="645"/>
      <c r="S147" s="645"/>
      <c r="T147" s="645"/>
      <c r="U147" s="645"/>
      <c r="V147" s="645"/>
      <c r="W147" s="645"/>
      <c r="X147" s="645"/>
      <c r="Y147" s="645"/>
      <c r="Z147" s="645"/>
      <c r="AA147" s="645"/>
      <c r="AB147" s="645"/>
      <c r="AC147" s="645"/>
      <c r="AD147" s="645"/>
      <c r="AE147" s="645"/>
      <c r="AF147" s="645"/>
      <c r="AG147" s="645"/>
      <c r="AH147" s="645"/>
      <c r="AI147" s="645"/>
      <c r="AJ147" s="645"/>
      <c r="AK147" s="645"/>
      <c r="AL147" s="645"/>
      <c r="AM147" s="645"/>
      <c r="AN147" s="645"/>
      <c r="AO147" s="645"/>
      <c r="AP147" s="645"/>
      <c r="AQ147" s="645"/>
      <c r="AR147" s="645"/>
      <c r="AS147" s="645"/>
      <c r="AT147" s="645"/>
      <c r="AU147" s="645"/>
      <c r="AV147" s="645"/>
      <c r="AW147" s="645"/>
      <c r="AX147" s="645"/>
      <c r="AY147" s="645"/>
      <c r="AZ147" s="645"/>
      <c r="BA147" s="645"/>
      <c r="BB147" s="645"/>
      <c r="BC147" s="645"/>
      <c r="BD147" s="645"/>
      <c r="BE147" s="645"/>
      <c r="BF147" s="645"/>
      <c r="BG147" s="645"/>
      <c r="BH147" s="645"/>
      <c r="BI147" s="645"/>
      <c r="BJ147" s="645"/>
      <c r="BK147" s="645"/>
      <c r="BL147" s="645"/>
      <c r="BM147" s="645"/>
      <c r="BN147" s="645"/>
      <c r="BO147" s="645"/>
      <c r="BP147" s="645"/>
      <c r="BQ147" s="645"/>
      <c r="BR147" s="645"/>
      <c r="BS147" s="645"/>
      <c r="BT147" s="645"/>
      <c r="BU147" s="645"/>
      <c r="BV147" s="645"/>
      <c r="BW147" s="645"/>
      <c r="BX147" s="645"/>
      <c r="BY147" s="645"/>
      <c r="BZ147" s="645"/>
      <c r="CA147" s="645"/>
      <c r="CB147" s="645"/>
      <c r="CC147" s="645"/>
      <c r="CD147" s="645"/>
      <c r="CE147" s="645"/>
      <c r="CF147" s="645"/>
      <c r="CG147" s="645"/>
      <c r="CH147" s="645"/>
      <c r="CI147" s="645"/>
      <c r="CJ147" s="645"/>
      <c r="CK147" s="645"/>
      <c r="CL147" s="645"/>
      <c r="CM147" s="645"/>
      <c r="CN147" s="645"/>
      <c r="CO147" s="645"/>
      <c r="CP147" s="645"/>
      <c r="CQ147" s="645"/>
      <c r="CR147" s="645"/>
      <c r="CS147" s="645"/>
      <c r="CT147" s="645"/>
      <c r="CU147" s="645"/>
      <c r="CV147" s="645"/>
      <c r="CW147" s="645"/>
      <c r="CX147" s="645"/>
      <c r="CY147" s="645"/>
      <c r="CZ147" s="645"/>
      <c r="DA147" s="645"/>
      <c r="DB147" s="645"/>
      <c r="DC147" s="645"/>
      <c r="DD147" s="645"/>
      <c r="DE147" s="645"/>
      <c r="DF147" s="645"/>
      <c r="DG147" s="645"/>
      <c r="DH147" s="645"/>
      <c r="DI147" s="645"/>
      <c r="DJ147" s="645"/>
      <c r="DK147" s="645"/>
      <c r="DL147" s="645"/>
      <c r="DM147" s="645"/>
      <c r="DN147" s="645"/>
      <c r="DO147" s="645"/>
      <c r="DP147" s="645"/>
      <c r="DQ147" s="645"/>
      <c r="DR147" s="645"/>
      <c r="DS147" s="645"/>
      <c r="DT147" s="645"/>
      <c r="DU147" s="645"/>
      <c r="DV147" s="645"/>
      <c r="DW147" s="645"/>
      <c r="DX147" s="645"/>
      <c r="DY147" s="645"/>
      <c r="DZ147" s="645"/>
    </row>
    <row r="148" spans="1:130">
      <c r="A148" s="645"/>
      <c r="B148" s="645"/>
      <c r="C148" s="645"/>
      <c r="D148" s="645"/>
      <c r="E148" s="645"/>
      <c r="F148" s="645"/>
      <c r="G148" s="645"/>
      <c r="H148" s="645"/>
      <c r="I148" s="645"/>
      <c r="J148" s="645"/>
      <c r="K148" s="645"/>
      <c r="L148" s="645"/>
      <c r="M148" s="645"/>
      <c r="N148" s="645"/>
      <c r="O148" s="645"/>
      <c r="P148" s="645"/>
      <c r="Q148" s="645"/>
      <c r="R148" s="645"/>
      <c r="S148" s="645"/>
      <c r="T148" s="645"/>
      <c r="U148" s="645"/>
      <c r="V148" s="645"/>
      <c r="W148" s="645"/>
      <c r="X148" s="645"/>
      <c r="Y148" s="645"/>
      <c r="Z148" s="645"/>
      <c r="AA148" s="645"/>
      <c r="AB148" s="645"/>
      <c r="AC148" s="645"/>
      <c r="AD148" s="645"/>
      <c r="AE148" s="645"/>
      <c r="AF148" s="645"/>
      <c r="AG148" s="645"/>
      <c r="AH148" s="645"/>
      <c r="AI148" s="645"/>
      <c r="AJ148" s="645"/>
      <c r="AK148" s="645"/>
      <c r="AL148" s="645"/>
      <c r="AM148" s="645"/>
      <c r="AN148" s="645"/>
      <c r="AO148" s="645"/>
      <c r="AP148" s="645"/>
      <c r="AQ148" s="645"/>
      <c r="AR148" s="645"/>
      <c r="AS148" s="645"/>
      <c r="AT148" s="645"/>
      <c r="AU148" s="645"/>
      <c r="AV148" s="645"/>
      <c r="AW148" s="645"/>
      <c r="AX148" s="645"/>
      <c r="AY148" s="645"/>
      <c r="AZ148" s="645"/>
      <c r="BA148" s="645"/>
      <c r="BB148" s="645"/>
      <c r="BC148" s="645"/>
      <c r="BD148" s="645"/>
      <c r="BE148" s="645"/>
      <c r="BF148" s="645"/>
      <c r="BG148" s="645"/>
      <c r="BH148" s="645"/>
      <c r="BI148" s="645"/>
      <c r="BJ148" s="645"/>
      <c r="BK148" s="645"/>
      <c r="BL148" s="645"/>
      <c r="BM148" s="645"/>
      <c r="BN148" s="645"/>
      <c r="BO148" s="645"/>
      <c r="BP148" s="645"/>
      <c r="BQ148" s="645"/>
      <c r="BR148" s="645"/>
      <c r="BS148" s="645"/>
      <c r="BT148" s="645"/>
      <c r="BU148" s="645"/>
      <c r="BV148" s="645"/>
      <c r="BW148" s="645"/>
      <c r="BX148" s="645"/>
      <c r="BY148" s="645"/>
      <c r="BZ148" s="645"/>
      <c r="CA148" s="645"/>
      <c r="CB148" s="645"/>
      <c r="CC148" s="645"/>
      <c r="CD148" s="645"/>
      <c r="CE148" s="645"/>
      <c r="CF148" s="645"/>
      <c r="CG148" s="645"/>
      <c r="CH148" s="645"/>
      <c r="CI148" s="645"/>
      <c r="CJ148" s="645"/>
      <c r="CK148" s="645"/>
      <c r="CL148" s="645"/>
      <c r="CM148" s="645"/>
      <c r="CN148" s="645"/>
      <c r="CO148" s="645"/>
      <c r="CP148" s="645"/>
      <c r="CQ148" s="645"/>
      <c r="CR148" s="645"/>
      <c r="CS148" s="645"/>
      <c r="CT148" s="645"/>
      <c r="CU148" s="645"/>
      <c r="CV148" s="645"/>
      <c r="CW148" s="645"/>
      <c r="CX148" s="645"/>
      <c r="CY148" s="645"/>
      <c r="CZ148" s="645"/>
      <c r="DA148" s="645"/>
      <c r="DB148" s="645"/>
      <c r="DC148" s="645"/>
      <c r="DD148" s="645"/>
      <c r="DE148" s="645"/>
      <c r="DF148" s="645"/>
      <c r="DG148" s="645"/>
      <c r="DH148" s="645"/>
      <c r="DI148" s="645"/>
      <c r="DJ148" s="645"/>
      <c r="DK148" s="645"/>
      <c r="DL148" s="645"/>
      <c r="DM148" s="645"/>
      <c r="DN148" s="645"/>
      <c r="DO148" s="645"/>
      <c r="DP148" s="645"/>
      <c r="DQ148" s="645"/>
      <c r="DR148" s="645"/>
      <c r="DS148" s="645"/>
      <c r="DT148" s="645"/>
      <c r="DU148" s="645"/>
      <c r="DV148" s="645"/>
      <c r="DW148" s="645"/>
      <c r="DX148" s="645"/>
      <c r="DY148" s="645"/>
      <c r="DZ148" s="645"/>
    </row>
    <row r="149" spans="1:130">
      <c r="A149" s="645"/>
      <c r="B149" s="645"/>
      <c r="C149" s="645"/>
      <c r="D149" s="645"/>
      <c r="E149" s="645"/>
      <c r="F149" s="645"/>
      <c r="G149" s="645"/>
      <c r="H149" s="645"/>
      <c r="I149" s="645"/>
      <c r="J149" s="645"/>
      <c r="K149" s="645"/>
      <c r="L149" s="645"/>
      <c r="M149" s="645"/>
      <c r="N149" s="645"/>
      <c r="O149" s="645"/>
      <c r="P149" s="645"/>
      <c r="Q149" s="645"/>
      <c r="R149" s="645"/>
      <c r="S149" s="645"/>
      <c r="T149" s="645"/>
      <c r="U149" s="645"/>
      <c r="V149" s="645"/>
      <c r="W149" s="645"/>
      <c r="X149" s="645"/>
      <c r="Y149" s="645"/>
      <c r="Z149" s="645"/>
      <c r="AA149" s="645"/>
      <c r="AB149" s="645"/>
      <c r="AC149" s="645"/>
      <c r="AD149" s="645"/>
      <c r="AE149" s="645"/>
      <c r="AF149" s="645"/>
      <c r="AG149" s="645"/>
      <c r="AH149" s="645"/>
      <c r="AI149" s="645"/>
      <c r="AJ149" s="645"/>
      <c r="AK149" s="645"/>
      <c r="AL149" s="645"/>
      <c r="AM149" s="645"/>
      <c r="AN149" s="645"/>
      <c r="AO149" s="645"/>
      <c r="AP149" s="645"/>
      <c r="AQ149" s="645"/>
      <c r="AR149" s="645"/>
      <c r="AS149" s="645"/>
      <c r="AT149" s="645"/>
      <c r="AU149" s="645"/>
      <c r="AV149" s="645"/>
      <c r="AW149" s="645"/>
      <c r="AX149" s="645"/>
      <c r="AY149" s="645"/>
      <c r="AZ149" s="645"/>
      <c r="BA149" s="645"/>
      <c r="BB149" s="645"/>
      <c r="BC149" s="645"/>
      <c r="BD149" s="645"/>
      <c r="BE149" s="645"/>
      <c r="BF149" s="645"/>
      <c r="BG149" s="645"/>
      <c r="BH149" s="645"/>
      <c r="BI149" s="645"/>
      <c r="BJ149" s="645"/>
      <c r="BK149" s="645"/>
      <c r="BL149" s="645"/>
      <c r="BM149" s="645"/>
      <c r="BN149" s="645"/>
      <c r="BO149" s="645"/>
      <c r="BP149" s="645"/>
      <c r="BQ149" s="645"/>
      <c r="BR149" s="645"/>
      <c r="BS149" s="645"/>
      <c r="BT149" s="645"/>
      <c r="BU149" s="645"/>
      <c r="BV149" s="645"/>
      <c r="BW149" s="645"/>
      <c r="BX149" s="645"/>
      <c r="BY149" s="645"/>
      <c r="BZ149" s="645"/>
      <c r="CA149" s="645"/>
      <c r="CB149" s="645"/>
      <c r="CC149" s="645"/>
      <c r="CD149" s="645"/>
      <c r="CE149" s="645"/>
      <c r="CF149" s="645"/>
      <c r="CG149" s="645"/>
      <c r="CH149" s="645"/>
      <c r="CI149" s="645"/>
      <c r="CJ149" s="645"/>
      <c r="CK149" s="645"/>
      <c r="CL149" s="645"/>
      <c r="CM149" s="645"/>
      <c r="CN149" s="645"/>
      <c r="CO149" s="645"/>
      <c r="CP149" s="645"/>
      <c r="CQ149" s="645"/>
      <c r="CR149" s="645"/>
      <c r="CS149" s="645"/>
      <c r="CT149" s="645"/>
      <c r="CU149" s="645"/>
      <c r="CV149" s="645"/>
      <c r="CW149" s="645"/>
      <c r="CX149" s="645"/>
      <c r="CY149" s="645"/>
      <c r="CZ149" s="645"/>
      <c r="DA149" s="645"/>
      <c r="DB149" s="645"/>
      <c r="DC149" s="645"/>
      <c r="DD149" s="645"/>
      <c r="DE149" s="645"/>
      <c r="DF149" s="645"/>
      <c r="DG149" s="645"/>
      <c r="DH149" s="645"/>
      <c r="DI149" s="645"/>
      <c r="DJ149" s="645"/>
      <c r="DK149" s="645"/>
      <c r="DL149" s="645"/>
      <c r="DM149" s="645"/>
      <c r="DN149" s="645"/>
      <c r="DO149" s="645"/>
      <c r="DP149" s="645"/>
      <c r="DQ149" s="645"/>
      <c r="DR149" s="645"/>
      <c r="DS149" s="645"/>
      <c r="DT149" s="645"/>
      <c r="DU149" s="645"/>
      <c r="DV149" s="645"/>
      <c r="DW149" s="645"/>
      <c r="DX149" s="645"/>
      <c r="DY149" s="645"/>
      <c r="DZ149" s="645"/>
    </row>
    <row r="150" spans="1:130">
      <c r="A150" s="645"/>
      <c r="B150" s="645"/>
      <c r="C150" s="645"/>
      <c r="D150" s="645"/>
      <c r="E150" s="645"/>
      <c r="F150" s="645"/>
      <c r="G150" s="645"/>
      <c r="H150" s="645"/>
      <c r="I150" s="645"/>
      <c r="J150" s="645"/>
      <c r="K150" s="645"/>
      <c r="L150" s="645"/>
      <c r="M150" s="645"/>
      <c r="N150" s="645"/>
      <c r="O150" s="645"/>
      <c r="P150" s="645"/>
      <c r="Q150" s="645"/>
      <c r="R150" s="645"/>
      <c r="S150" s="645"/>
      <c r="T150" s="645"/>
      <c r="U150" s="645"/>
      <c r="V150" s="645"/>
      <c r="W150" s="645"/>
      <c r="X150" s="645"/>
      <c r="Y150" s="645"/>
      <c r="Z150" s="645"/>
      <c r="AA150" s="645"/>
      <c r="AB150" s="645"/>
      <c r="AC150" s="645"/>
      <c r="AD150" s="645"/>
      <c r="AE150" s="645"/>
      <c r="AF150" s="645"/>
      <c r="AG150" s="645"/>
      <c r="AH150" s="645"/>
      <c r="AI150" s="645"/>
      <c r="AJ150" s="645"/>
      <c r="AK150" s="645"/>
      <c r="AL150" s="645"/>
      <c r="AM150" s="645"/>
      <c r="AN150" s="645"/>
      <c r="AO150" s="645"/>
      <c r="AP150" s="645"/>
      <c r="AQ150" s="645"/>
      <c r="AR150" s="645"/>
      <c r="AS150" s="645"/>
      <c r="AT150" s="645"/>
      <c r="AU150" s="645"/>
      <c r="AV150" s="645"/>
      <c r="AW150" s="645"/>
      <c r="AX150" s="645"/>
      <c r="AY150" s="645"/>
      <c r="AZ150" s="645"/>
      <c r="BA150" s="645"/>
      <c r="BB150" s="645"/>
      <c r="BC150" s="645"/>
      <c r="BD150" s="645"/>
      <c r="BE150" s="645"/>
      <c r="BF150" s="645"/>
      <c r="BG150" s="645"/>
      <c r="BH150" s="645"/>
      <c r="BI150" s="645"/>
      <c r="BJ150" s="645"/>
      <c r="BK150" s="645"/>
      <c r="BL150" s="645"/>
      <c r="BM150" s="645"/>
      <c r="BN150" s="645"/>
      <c r="BO150" s="645"/>
      <c r="BP150" s="645"/>
      <c r="BQ150" s="645"/>
      <c r="BR150" s="645"/>
      <c r="BS150" s="645"/>
      <c r="BT150" s="645"/>
      <c r="BU150" s="645"/>
      <c r="BV150" s="645"/>
      <c r="BW150" s="645"/>
      <c r="BX150" s="645"/>
      <c r="BY150" s="645"/>
      <c r="BZ150" s="645"/>
      <c r="CA150" s="645"/>
      <c r="CB150" s="645"/>
      <c r="CC150" s="645"/>
      <c r="CD150" s="645"/>
      <c r="CE150" s="645"/>
      <c r="CF150" s="645"/>
      <c r="CG150" s="645"/>
      <c r="CH150" s="645"/>
      <c r="CI150" s="645"/>
      <c r="CJ150" s="645"/>
      <c r="CK150" s="645"/>
      <c r="CL150" s="645"/>
      <c r="CM150" s="645"/>
      <c r="CN150" s="645"/>
      <c r="CO150" s="645"/>
      <c r="CP150" s="645"/>
      <c r="CQ150" s="645"/>
      <c r="CR150" s="645"/>
      <c r="CS150" s="645"/>
      <c r="CT150" s="645"/>
      <c r="CU150" s="645"/>
      <c r="CV150" s="645"/>
      <c r="CW150" s="645"/>
      <c r="CX150" s="645"/>
      <c r="CY150" s="645"/>
      <c r="CZ150" s="645"/>
      <c r="DA150" s="645"/>
      <c r="DB150" s="645"/>
      <c r="DC150" s="645"/>
      <c r="DD150" s="645"/>
      <c r="DE150" s="645"/>
      <c r="DF150" s="645"/>
      <c r="DG150" s="645"/>
      <c r="DH150" s="645"/>
      <c r="DI150" s="645"/>
      <c r="DJ150" s="645"/>
      <c r="DK150" s="645"/>
      <c r="DL150" s="645"/>
      <c r="DM150" s="645"/>
      <c r="DN150" s="645"/>
      <c r="DO150" s="645"/>
      <c r="DP150" s="645"/>
      <c r="DQ150" s="645"/>
      <c r="DR150" s="645"/>
      <c r="DS150" s="645"/>
      <c r="DT150" s="645"/>
      <c r="DU150" s="645"/>
      <c r="DV150" s="645"/>
      <c r="DW150" s="645"/>
      <c r="DX150" s="645"/>
      <c r="DY150" s="645"/>
      <c r="DZ150" s="645"/>
    </row>
    <row r="151" spans="1:130">
      <c r="A151" s="645"/>
      <c r="B151" s="645"/>
      <c r="C151" s="645"/>
      <c r="D151" s="645"/>
      <c r="E151" s="645"/>
      <c r="F151" s="645"/>
      <c r="G151" s="645"/>
      <c r="H151" s="645"/>
      <c r="I151" s="645"/>
      <c r="J151" s="645"/>
      <c r="K151" s="645"/>
      <c r="L151" s="645"/>
      <c r="M151" s="645"/>
      <c r="N151" s="645"/>
      <c r="O151" s="645"/>
      <c r="P151" s="645"/>
      <c r="Q151" s="645"/>
      <c r="R151" s="645"/>
      <c r="S151" s="645"/>
      <c r="T151" s="645"/>
      <c r="U151" s="645"/>
      <c r="V151" s="645"/>
      <c r="W151" s="645"/>
      <c r="X151" s="645"/>
      <c r="Y151" s="645"/>
      <c r="Z151" s="645"/>
      <c r="AA151" s="645"/>
      <c r="AB151" s="645"/>
      <c r="AC151" s="645"/>
      <c r="AD151" s="645"/>
      <c r="AE151" s="645"/>
      <c r="AF151" s="645"/>
      <c r="AG151" s="645"/>
      <c r="AH151" s="645"/>
      <c r="AI151" s="645"/>
      <c r="AJ151" s="645"/>
      <c r="AK151" s="645"/>
      <c r="AL151" s="645"/>
      <c r="AM151" s="645"/>
      <c r="AN151" s="645"/>
      <c r="AO151" s="645"/>
      <c r="AP151" s="645"/>
      <c r="AQ151" s="645"/>
      <c r="AR151" s="645"/>
      <c r="AS151" s="645"/>
      <c r="AT151" s="645"/>
      <c r="AU151" s="645"/>
      <c r="AV151" s="645"/>
      <c r="AW151" s="645"/>
      <c r="AX151" s="645"/>
      <c r="AY151" s="645"/>
      <c r="AZ151" s="645"/>
      <c r="BA151" s="645"/>
      <c r="BB151" s="645"/>
      <c r="BC151" s="645"/>
      <c r="BD151" s="645"/>
      <c r="BE151" s="645"/>
      <c r="BF151" s="645"/>
      <c r="BG151" s="645"/>
      <c r="BH151" s="645"/>
      <c r="BI151" s="645"/>
      <c r="BJ151" s="645"/>
      <c r="BK151" s="645"/>
      <c r="BL151" s="645"/>
      <c r="BM151" s="645"/>
      <c r="BN151" s="645"/>
      <c r="BO151" s="645"/>
      <c r="BP151" s="645"/>
      <c r="BQ151" s="645"/>
      <c r="BR151" s="645"/>
      <c r="BS151" s="645"/>
      <c r="BT151" s="645"/>
      <c r="BU151" s="645"/>
      <c r="BV151" s="645"/>
      <c r="BW151" s="645"/>
      <c r="BX151" s="645"/>
      <c r="BY151" s="645"/>
      <c r="BZ151" s="645"/>
      <c r="CA151" s="645"/>
      <c r="CB151" s="645"/>
      <c r="CC151" s="645"/>
      <c r="CD151" s="645"/>
      <c r="CE151" s="645"/>
      <c r="CF151" s="645"/>
      <c r="CG151" s="645"/>
      <c r="CH151" s="645"/>
      <c r="CI151" s="645"/>
      <c r="CJ151" s="645"/>
      <c r="CK151" s="645"/>
      <c r="CL151" s="645"/>
      <c r="CM151" s="645"/>
      <c r="CN151" s="645"/>
      <c r="CO151" s="645"/>
      <c r="CP151" s="645"/>
      <c r="CQ151" s="645"/>
      <c r="CR151" s="645"/>
      <c r="CS151" s="645"/>
      <c r="CT151" s="645"/>
      <c r="CU151" s="645"/>
      <c r="CV151" s="645"/>
      <c r="CW151" s="645"/>
      <c r="CX151" s="645"/>
      <c r="CY151" s="645"/>
      <c r="CZ151" s="645"/>
      <c r="DA151" s="645"/>
      <c r="DB151" s="645"/>
      <c r="DC151" s="645"/>
      <c r="DD151" s="645"/>
      <c r="DE151" s="645"/>
      <c r="DF151" s="645"/>
      <c r="DG151" s="645"/>
      <c r="DH151" s="645"/>
      <c r="DI151" s="645"/>
      <c r="DJ151" s="645"/>
      <c r="DK151" s="645"/>
      <c r="DL151" s="645"/>
      <c r="DM151" s="645"/>
      <c r="DN151" s="645"/>
      <c r="DO151" s="645"/>
      <c r="DP151" s="645"/>
      <c r="DQ151" s="645"/>
      <c r="DR151" s="645"/>
      <c r="DS151" s="645"/>
      <c r="DT151" s="645"/>
      <c r="DU151" s="645"/>
      <c r="DV151" s="645"/>
      <c r="DW151" s="645"/>
      <c r="DX151" s="645"/>
      <c r="DY151" s="645"/>
      <c r="DZ151" s="645"/>
    </row>
    <row r="152" spans="1:130">
      <c r="A152" s="645"/>
      <c r="B152" s="645"/>
      <c r="C152" s="645"/>
      <c r="D152" s="645"/>
      <c r="E152" s="645"/>
      <c r="F152" s="645"/>
      <c r="G152" s="645"/>
      <c r="H152" s="645"/>
      <c r="I152" s="645"/>
      <c r="J152" s="645"/>
      <c r="K152" s="645"/>
      <c r="L152" s="645"/>
      <c r="M152" s="645"/>
      <c r="N152" s="645"/>
      <c r="O152" s="645"/>
      <c r="P152" s="645"/>
      <c r="Q152" s="645"/>
      <c r="R152" s="645"/>
      <c r="S152" s="645"/>
      <c r="T152" s="645"/>
      <c r="U152" s="645"/>
      <c r="V152" s="645"/>
      <c r="W152" s="645"/>
      <c r="X152" s="645"/>
      <c r="Y152" s="645"/>
      <c r="Z152" s="645"/>
      <c r="AA152" s="645"/>
      <c r="AB152" s="645"/>
      <c r="AC152" s="645"/>
      <c r="AD152" s="645"/>
      <c r="AE152" s="645"/>
      <c r="AF152" s="645"/>
      <c r="AG152" s="645"/>
      <c r="AH152" s="645"/>
      <c r="AI152" s="645"/>
      <c r="AJ152" s="645"/>
      <c r="AK152" s="645"/>
      <c r="AL152" s="645"/>
      <c r="AM152" s="645"/>
      <c r="AN152" s="645"/>
      <c r="AO152" s="645"/>
      <c r="AP152" s="645"/>
      <c r="AQ152" s="645"/>
      <c r="AR152" s="645"/>
      <c r="AS152" s="645"/>
      <c r="AT152" s="645"/>
      <c r="AU152" s="645"/>
      <c r="AV152" s="645"/>
      <c r="AW152" s="645"/>
      <c r="AX152" s="645"/>
      <c r="AY152" s="645"/>
      <c r="AZ152" s="645"/>
      <c r="BA152" s="645"/>
      <c r="BB152" s="645"/>
      <c r="BC152" s="645"/>
      <c r="BD152" s="645"/>
      <c r="BE152" s="645"/>
      <c r="BF152" s="645"/>
      <c r="BG152" s="645"/>
      <c r="BH152" s="645"/>
      <c r="BI152" s="645"/>
      <c r="BJ152" s="645"/>
      <c r="BK152" s="645"/>
      <c r="BL152" s="645"/>
      <c r="BM152" s="645"/>
      <c r="BN152" s="645"/>
      <c r="BO152" s="645"/>
      <c r="BP152" s="645"/>
      <c r="BQ152" s="645"/>
      <c r="BR152" s="645"/>
      <c r="BS152" s="645"/>
      <c r="BT152" s="645"/>
      <c r="BU152" s="645"/>
      <c r="BV152" s="645"/>
      <c r="BW152" s="645"/>
      <c r="BX152" s="645"/>
      <c r="BY152" s="645"/>
      <c r="BZ152" s="645"/>
      <c r="CA152" s="645"/>
      <c r="CB152" s="645"/>
      <c r="CC152" s="645"/>
      <c r="CD152" s="645"/>
      <c r="CE152" s="645"/>
      <c r="CF152" s="645"/>
      <c r="CG152" s="645"/>
      <c r="CH152" s="645"/>
      <c r="CI152" s="645"/>
      <c r="CJ152" s="645"/>
      <c r="CK152" s="645"/>
      <c r="CL152" s="645"/>
      <c r="CM152" s="645"/>
      <c r="CN152" s="645"/>
      <c r="CO152" s="645"/>
      <c r="CP152" s="645"/>
      <c r="CQ152" s="645"/>
      <c r="CR152" s="645"/>
      <c r="CS152" s="645"/>
      <c r="CT152" s="645"/>
      <c r="CU152" s="645"/>
      <c r="CV152" s="645"/>
      <c r="CW152" s="645"/>
      <c r="CX152" s="645"/>
      <c r="CY152" s="645"/>
      <c r="CZ152" s="645"/>
      <c r="DA152" s="645"/>
      <c r="DB152" s="645"/>
      <c r="DC152" s="645"/>
      <c r="DD152" s="645"/>
      <c r="DE152" s="645"/>
      <c r="DF152" s="645"/>
      <c r="DG152" s="645"/>
      <c r="DH152" s="645"/>
      <c r="DI152" s="645"/>
      <c r="DJ152" s="645"/>
      <c r="DK152" s="645"/>
      <c r="DL152" s="645"/>
      <c r="DM152" s="645"/>
      <c r="DN152" s="645"/>
      <c r="DO152" s="645"/>
      <c r="DP152" s="645"/>
      <c r="DQ152" s="645"/>
      <c r="DR152" s="645"/>
      <c r="DS152" s="645"/>
      <c r="DT152" s="645"/>
      <c r="DU152" s="645"/>
      <c r="DV152" s="645"/>
      <c r="DW152" s="645"/>
      <c r="DX152" s="645"/>
      <c r="DY152" s="645"/>
      <c r="DZ152" s="645"/>
    </row>
    <row r="153" spans="1:130">
      <c r="A153" s="645"/>
      <c r="B153" s="645"/>
      <c r="C153" s="645"/>
      <c r="D153" s="645"/>
      <c r="E153" s="645"/>
      <c r="F153" s="645"/>
      <c r="G153" s="645"/>
      <c r="H153" s="645"/>
      <c r="I153" s="645"/>
      <c r="J153" s="645"/>
      <c r="K153" s="645"/>
      <c r="L153" s="645"/>
      <c r="M153" s="645"/>
      <c r="N153" s="645"/>
      <c r="O153" s="645"/>
      <c r="P153" s="645"/>
      <c r="Q153" s="645"/>
      <c r="R153" s="645"/>
      <c r="S153" s="645"/>
      <c r="T153" s="645"/>
      <c r="U153" s="645"/>
      <c r="V153" s="645"/>
      <c r="W153" s="645"/>
      <c r="X153" s="645"/>
      <c r="Y153" s="645"/>
      <c r="Z153" s="645"/>
      <c r="AA153" s="645"/>
      <c r="AB153" s="645"/>
      <c r="AC153" s="645"/>
      <c r="AD153" s="645"/>
      <c r="AE153" s="645"/>
      <c r="AF153" s="645"/>
      <c r="AG153" s="645"/>
      <c r="AH153" s="645"/>
      <c r="AI153" s="645"/>
      <c r="AJ153" s="645"/>
      <c r="AK153" s="645"/>
      <c r="AL153" s="645"/>
      <c r="AM153" s="645"/>
      <c r="AN153" s="645"/>
      <c r="AO153" s="645"/>
      <c r="AP153" s="645"/>
      <c r="AQ153" s="645"/>
      <c r="AR153" s="645"/>
      <c r="AS153" s="645"/>
      <c r="AT153" s="645"/>
      <c r="AU153" s="645"/>
      <c r="AV153" s="645"/>
      <c r="AW153" s="645"/>
      <c r="AX153" s="645"/>
      <c r="AY153" s="645"/>
      <c r="AZ153" s="645"/>
      <c r="BA153" s="645"/>
      <c r="BB153" s="645"/>
      <c r="BC153" s="645"/>
      <c r="BD153" s="645"/>
      <c r="BE153" s="645"/>
      <c r="BF153" s="645"/>
      <c r="BG153" s="645"/>
      <c r="BH153" s="645"/>
      <c r="BI153" s="645"/>
      <c r="BJ153" s="645"/>
      <c r="BK153" s="645"/>
      <c r="BL153" s="645"/>
      <c r="BM153" s="645"/>
      <c r="BN153" s="645"/>
      <c r="BO153" s="645"/>
      <c r="BP153" s="645"/>
      <c r="BQ153" s="645"/>
      <c r="BR153" s="645"/>
      <c r="BS153" s="645"/>
      <c r="BT153" s="645"/>
      <c r="BU153" s="645"/>
      <c r="BV153" s="645"/>
      <c r="BW153" s="645"/>
      <c r="BX153" s="645"/>
      <c r="BY153" s="645"/>
      <c r="BZ153" s="645"/>
      <c r="CA153" s="645"/>
      <c r="CB153" s="645"/>
      <c r="CC153" s="645"/>
      <c r="CD153" s="645"/>
      <c r="CE153" s="645"/>
      <c r="CF153" s="645"/>
      <c r="CG153" s="645"/>
      <c r="CH153" s="645"/>
      <c r="CI153" s="645"/>
      <c r="CJ153" s="645"/>
      <c r="CK153" s="645"/>
      <c r="CL153" s="645"/>
      <c r="CM153" s="645"/>
      <c r="CN153" s="645"/>
      <c r="CO153" s="645"/>
      <c r="CP153" s="645"/>
      <c r="CQ153" s="645"/>
      <c r="CR153" s="645"/>
      <c r="CS153" s="645"/>
      <c r="CT153" s="645"/>
      <c r="CU153" s="645"/>
      <c r="CV153" s="645"/>
      <c r="CW153" s="645"/>
      <c r="CX153" s="645"/>
      <c r="CY153" s="645"/>
      <c r="CZ153" s="645"/>
      <c r="DA153" s="645"/>
      <c r="DB153" s="645"/>
      <c r="DC153" s="645"/>
      <c r="DD153" s="645"/>
      <c r="DE153" s="645"/>
      <c r="DF153" s="645"/>
      <c r="DG153" s="645"/>
      <c r="DH153" s="645"/>
      <c r="DI153" s="645"/>
      <c r="DJ153" s="645"/>
      <c r="DK153" s="645"/>
      <c r="DL153" s="645"/>
      <c r="DM153" s="645"/>
      <c r="DN153" s="645"/>
      <c r="DO153" s="645"/>
      <c r="DP153" s="645"/>
      <c r="DQ153" s="645"/>
      <c r="DR153" s="645"/>
      <c r="DS153" s="645"/>
      <c r="DT153" s="645"/>
      <c r="DU153" s="645"/>
      <c r="DV153" s="645"/>
      <c r="DW153" s="645"/>
      <c r="DX153" s="645"/>
      <c r="DY153" s="645"/>
      <c r="DZ153" s="645"/>
    </row>
    <row r="154" spans="1:130">
      <c r="A154" s="645"/>
      <c r="B154" s="645"/>
      <c r="C154" s="645"/>
      <c r="D154" s="645"/>
      <c r="E154" s="645"/>
      <c r="F154" s="645"/>
      <c r="G154" s="645"/>
      <c r="H154" s="645"/>
      <c r="I154" s="645"/>
      <c r="J154" s="645"/>
      <c r="K154" s="645"/>
      <c r="L154" s="645"/>
      <c r="M154" s="645"/>
      <c r="N154" s="645"/>
      <c r="O154" s="645"/>
      <c r="P154" s="645"/>
      <c r="Q154" s="645"/>
      <c r="R154" s="645"/>
      <c r="S154" s="645"/>
      <c r="T154" s="645"/>
      <c r="U154" s="645"/>
      <c r="V154" s="645"/>
      <c r="W154" s="645"/>
      <c r="X154" s="645"/>
      <c r="Y154" s="645"/>
      <c r="Z154" s="645"/>
      <c r="AA154" s="645"/>
      <c r="AB154" s="645"/>
      <c r="AC154" s="645"/>
      <c r="AD154" s="645"/>
      <c r="AE154" s="645"/>
      <c r="AF154" s="645"/>
      <c r="AG154" s="645"/>
      <c r="AH154" s="645"/>
      <c r="AI154" s="645"/>
      <c r="AJ154" s="645"/>
      <c r="AK154" s="645"/>
      <c r="AL154" s="645"/>
      <c r="AM154" s="645"/>
      <c r="AN154" s="645"/>
      <c r="AO154" s="645"/>
      <c r="AP154" s="645"/>
      <c r="AQ154" s="645"/>
      <c r="AR154" s="645"/>
      <c r="AS154" s="645"/>
      <c r="AT154" s="645"/>
      <c r="AU154" s="645"/>
      <c r="AV154" s="645"/>
      <c r="AW154" s="645"/>
      <c r="AX154" s="645"/>
      <c r="AY154" s="645"/>
      <c r="AZ154" s="645"/>
      <c r="BA154" s="645"/>
      <c r="BB154" s="645"/>
      <c r="BC154" s="645"/>
      <c r="BD154" s="645"/>
      <c r="BE154" s="645"/>
      <c r="BF154" s="645"/>
      <c r="BG154" s="645"/>
      <c r="BH154" s="645"/>
      <c r="BI154" s="645"/>
      <c r="BJ154" s="645"/>
      <c r="BK154" s="645"/>
      <c r="BL154" s="645"/>
      <c r="BM154" s="645"/>
      <c r="BN154" s="645"/>
      <c r="BO154" s="645"/>
      <c r="BP154" s="645"/>
      <c r="BQ154" s="645"/>
      <c r="BR154" s="645"/>
      <c r="BS154" s="645"/>
      <c r="BT154" s="645"/>
      <c r="BU154" s="645"/>
      <c r="BV154" s="645"/>
      <c r="BW154" s="645"/>
      <c r="BX154" s="645"/>
      <c r="BY154" s="645"/>
      <c r="BZ154" s="645"/>
      <c r="CA154" s="645"/>
      <c r="CB154" s="645"/>
      <c r="CC154" s="645"/>
      <c r="CD154" s="645"/>
      <c r="CE154" s="645"/>
      <c r="CF154" s="645"/>
      <c r="CG154" s="645"/>
      <c r="CH154" s="645"/>
      <c r="CI154" s="645"/>
      <c r="CJ154" s="645"/>
      <c r="CK154" s="645"/>
      <c r="CL154" s="645"/>
      <c r="CM154" s="645"/>
      <c r="CN154" s="645"/>
      <c r="CO154" s="645"/>
      <c r="CP154" s="645"/>
      <c r="CQ154" s="645"/>
      <c r="CR154" s="645"/>
      <c r="CS154" s="645"/>
      <c r="CT154" s="645"/>
      <c r="CU154" s="645"/>
      <c r="CV154" s="645"/>
      <c r="CW154" s="645"/>
      <c r="CX154" s="645"/>
      <c r="CY154" s="645"/>
      <c r="CZ154" s="645"/>
      <c r="DA154" s="645"/>
      <c r="DB154" s="645"/>
      <c r="DC154" s="645"/>
      <c r="DD154" s="645"/>
      <c r="DE154" s="645"/>
      <c r="DF154" s="645"/>
      <c r="DG154" s="645"/>
      <c r="DH154" s="645"/>
      <c r="DI154" s="645"/>
      <c r="DJ154" s="645"/>
      <c r="DK154" s="645"/>
      <c r="DL154" s="645"/>
      <c r="DM154" s="645"/>
      <c r="DN154" s="645"/>
      <c r="DO154" s="645"/>
      <c r="DP154" s="645"/>
      <c r="DQ154" s="645"/>
      <c r="DR154" s="645"/>
      <c r="DS154" s="645"/>
      <c r="DT154" s="645"/>
      <c r="DU154" s="645"/>
      <c r="DV154" s="645"/>
      <c r="DW154" s="645"/>
      <c r="DX154" s="645"/>
      <c r="DY154" s="645"/>
      <c r="DZ154" s="645"/>
    </row>
    <row r="155" spans="1:130">
      <c r="A155" s="645"/>
      <c r="B155" s="645"/>
      <c r="C155" s="645"/>
      <c r="D155" s="645"/>
      <c r="E155" s="645"/>
      <c r="F155" s="645"/>
      <c r="G155" s="645"/>
      <c r="H155" s="645"/>
      <c r="I155" s="645"/>
      <c r="J155" s="645"/>
      <c r="K155" s="645"/>
      <c r="L155" s="645"/>
      <c r="M155" s="645"/>
      <c r="N155" s="645"/>
      <c r="O155" s="645"/>
      <c r="P155" s="645"/>
      <c r="Q155" s="645"/>
      <c r="R155" s="645"/>
      <c r="S155" s="645"/>
      <c r="T155" s="645"/>
      <c r="U155" s="645"/>
      <c r="V155" s="645"/>
      <c r="W155" s="645"/>
      <c r="X155" s="645"/>
      <c r="Y155" s="645"/>
      <c r="Z155" s="645"/>
      <c r="AA155" s="645"/>
      <c r="AB155" s="645"/>
      <c r="AC155" s="645"/>
      <c r="AD155" s="645"/>
      <c r="AE155" s="645"/>
      <c r="AF155" s="645"/>
      <c r="AG155" s="645"/>
      <c r="AH155" s="645"/>
      <c r="AI155" s="645"/>
      <c r="AJ155" s="645"/>
      <c r="AK155" s="645"/>
      <c r="AL155" s="645"/>
      <c r="AM155" s="645"/>
      <c r="AN155" s="645"/>
      <c r="AO155" s="645"/>
      <c r="AP155" s="645"/>
      <c r="AQ155" s="645"/>
      <c r="AR155" s="645"/>
      <c r="AS155" s="645"/>
      <c r="AT155" s="645"/>
      <c r="AU155" s="645"/>
      <c r="AV155" s="645"/>
      <c r="AW155" s="645"/>
      <c r="AX155" s="645"/>
      <c r="AY155" s="645"/>
      <c r="AZ155" s="645"/>
      <c r="BA155" s="645"/>
      <c r="BB155" s="645"/>
      <c r="BC155" s="645"/>
      <c r="BD155" s="645"/>
      <c r="BE155" s="645"/>
      <c r="BF155" s="645"/>
      <c r="BG155" s="645"/>
      <c r="BH155" s="645"/>
      <c r="BI155" s="645"/>
      <c r="BJ155" s="645"/>
      <c r="BK155" s="645"/>
      <c r="BL155" s="645"/>
      <c r="BM155" s="645"/>
      <c r="BN155" s="645"/>
      <c r="BO155" s="645"/>
      <c r="BP155" s="645"/>
      <c r="BQ155" s="645"/>
      <c r="BR155" s="645"/>
      <c r="BS155" s="645"/>
      <c r="BT155" s="645"/>
      <c r="BU155" s="645"/>
      <c r="BV155" s="645"/>
      <c r="BW155" s="645"/>
      <c r="BX155" s="645"/>
      <c r="BY155" s="645"/>
      <c r="BZ155" s="645"/>
      <c r="CA155" s="645"/>
      <c r="CB155" s="645"/>
      <c r="CC155" s="645"/>
      <c r="CD155" s="645"/>
      <c r="CE155" s="645"/>
      <c r="CF155" s="645"/>
      <c r="CG155" s="645"/>
      <c r="CH155" s="645"/>
      <c r="CI155" s="645"/>
      <c r="CJ155" s="645"/>
      <c r="CK155" s="645"/>
      <c r="CL155" s="645"/>
      <c r="CM155" s="645"/>
      <c r="CN155" s="645"/>
      <c r="CO155" s="645"/>
      <c r="CP155" s="645"/>
      <c r="CQ155" s="645"/>
      <c r="CR155" s="645"/>
      <c r="CS155" s="645"/>
      <c r="CT155" s="645"/>
      <c r="CU155" s="645"/>
      <c r="CV155" s="645"/>
      <c r="CW155" s="645"/>
      <c r="CX155" s="645"/>
      <c r="CY155" s="645"/>
      <c r="CZ155" s="645"/>
      <c r="DA155" s="645"/>
      <c r="DB155" s="645"/>
      <c r="DC155" s="645"/>
      <c r="DD155" s="645"/>
      <c r="DE155" s="645"/>
      <c r="DF155" s="645"/>
      <c r="DG155" s="645"/>
      <c r="DH155" s="645"/>
      <c r="DI155" s="645"/>
      <c r="DJ155" s="645"/>
      <c r="DK155" s="645"/>
      <c r="DL155" s="645"/>
      <c r="DM155" s="645"/>
      <c r="DN155" s="645"/>
      <c r="DO155" s="645"/>
      <c r="DP155" s="645"/>
      <c r="DQ155" s="645"/>
      <c r="DR155" s="645"/>
      <c r="DS155" s="645"/>
      <c r="DT155" s="645"/>
      <c r="DU155" s="645"/>
      <c r="DV155" s="645"/>
      <c r="DW155" s="645"/>
      <c r="DX155" s="645"/>
      <c r="DY155" s="645"/>
      <c r="DZ155" s="645"/>
    </row>
    <row r="156" spans="1:130">
      <c r="A156" s="645"/>
      <c r="B156" s="645"/>
      <c r="C156" s="645"/>
      <c r="D156" s="645"/>
      <c r="E156" s="645"/>
      <c r="F156" s="645"/>
      <c r="G156" s="645"/>
      <c r="H156" s="645"/>
      <c r="I156" s="645"/>
      <c r="J156" s="645"/>
      <c r="K156" s="645"/>
      <c r="L156" s="645"/>
      <c r="M156" s="645"/>
      <c r="N156" s="645"/>
      <c r="O156" s="645"/>
      <c r="P156" s="645"/>
      <c r="Q156" s="645"/>
      <c r="R156" s="645"/>
      <c r="S156" s="645"/>
      <c r="T156" s="645"/>
      <c r="U156" s="645"/>
      <c r="V156" s="645"/>
      <c r="W156" s="645"/>
      <c r="X156" s="645"/>
      <c r="Y156" s="645"/>
      <c r="Z156" s="645"/>
      <c r="AA156" s="645"/>
      <c r="AB156" s="645"/>
      <c r="AC156" s="645"/>
      <c r="AD156" s="645"/>
      <c r="AE156" s="645"/>
      <c r="AF156" s="645"/>
      <c r="AG156" s="645"/>
      <c r="AH156" s="645"/>
      <c r="AI156" s="645"/>
      <c r="AJ156" s="645"/>
      <c r="AK156" s="645"/>
      <c r="AL156" s="645"/>
      <c r="AM156" s="645"/>
      <c r="AN156" s="645"/>
      <c r="AO156" s="645"/>
      <c r="AP156" s="645"/>
      <c r="AQ156" s="645"/>
      <c r="AR156" s="645"/>
      <c r="AS156" s="645"/>
      <c r="AT156" s="645"/>
      <c r="AU156" s="645"/>
      <c r="AV156" s="645"/>
      <c r="AW156" s="645"/>
      <c r="AX156" s="645"/>
      <c r="AY156" s="645"/>
      <c r="AZ156" s="645"/>
      <c r="BA156" s="645"/>
      <c r="BB156" s="645"/>
      <c r="BC156" s="645"/>
      <c r="BD156" s="645"/>
      <c r="BE156" s="645"/>
      <c r="BF156" s="645"/>
      <c r="BG156" s="645"/>
      <c r="BH156" s="645"/>
      <c r="BI156" s="645"/>
      <c r="BJ156" s="645"/>
      <c r="BK156" s="645"/>
      <c r="BL156" s="645"/>
      <c r="BM156" s="645"/>
      <c r="BN156" s="645"/>
      <c r="BO156" s="645"/>
      <c r="BP156" s="645"/>
      <c r="BQ156" s="645"/>
      <c r="BR156" s="645"/>
      <c r="BS156" s="645"/>
      <c r="BT156" s="645"/>
      <c r="BU156" s="645"/>
      <c r="BV156" s="645"/>
      <c r="BW156" s="645"/>
      <c r="BX156" s="645"/>
      <c r="BY156" s="645"/>
      <c r="BZ156" s="645"/>
      <c r="CA156" s="645"/>
      <c r="CB156" s="645"/>
      <c r="CC156" s="645"/>
      <c r="CD156" s="645"/>
      <c r="CE156" s="645"/>
      <c r="CF156" s="645"/>
      <c r="CG156" s="645"/>
      <c r="CH156" s="645"/>
      <c r="CI156" s="645"/>
      <c r="CJ156" s="645"/>
      <c r="CK156" s="645"/>
      <c r="CL156" s="645"/>
      <c r="CM156" s="645"/>
      <c r="CN156" s="645"/>
      <c r="CO156" s="645"/>
      <c r="CP156" s="645"/>
      <c r="CQ156" s="645"/>
      <c r="CR156" s="645"/>
      <c r="CS156" s="645"/>
      <c r="CT156" s="645"/>
      <c r="CU156" s="645"/>
      <c r="CV156" s="645"/>
      <c r="CW156" s="645"/>
      <c r="CX156" s="645"/>
      <c r="CY156" s="645"/>
      <c r="CZ156" s="645"/>
      <c r="DA156" s="645"/>
      <c r="DB156" s="645"/>
      <c r="DC156" s="645"/>
      <c r="DD156" s="645"/>
      <c r="DE156" s="645"/>
      <c r="DF156" s="645"/>
      <c r="DG156" s="645"/>
      <c r="DH156" s="645"/>
      <c r="DI156" s="645"/>
      <c r="DJ156" s="645"/>
      <c r="DK156" s="645"/>
      <c r="DL156" s="645"/>
      <c r="DM156" s="645"/>
      <c r="DN156" s="645"/>
      <c r="DO156" s="645"/>
      <c r="DP156" s="645"/>
      <c r="DQ156" s="645"/>
      <c r="DR156" s="645"/>
      <c r="DS156" s="645"/>
      <c r="DT156" s="645"/>
      <c r="DU156" s="645"/>
      <c r="DV156" s="645"/>
      <c r="DW156" s="645"/>
      <c r="DX156" s="645"/>
      <c r="DY156" s="645"/>
      <c r="DZ156" s="645"/>
    </row>
    <row r="157" spans="1:130">
      <c r="A157" s="645"/>
      <c r="B157" s="645"/>
      <c r="C157" s="645"/>
      <c r="D157" s="645"/>
      <c r="E157" s="645"/>
      <c r="F157" s="645"/>
      <c r="G157" s="645"/>
      <c r="H157" s="645"/>
      <c r="I157" s="645"/>
      <c r="J157" s="645"/>
      <c r="K157" s="645"/>
      <c r="L157" s="645"/>
      <c r="M157" s="645"/>
      <c r="N157" s="645"/>
      <c r="O157" s="645"/>
      <c r="P157" s="645"/>
      <c r="Q157" s="645"/>
      <c r="R157" s="645"/>
      <c r="S157" s="645"/>
      <c r="T157" s="645"/>
      <c r="U157" s="645"/>
      <c r="V157" s="645"/>
      <c r="W157" s="645"/>
      <c r="X157" s="645"/>
      <c r="Y157" s="645"/>
      <c r="Z157" s="645"/>
      <c r="AA157" s="645"/>
      <c r="AB157" s="645"/>
      <c r="AC157" s="645"/>
      <c r="AD157" s="645"/>
      <c r="AE157" s="645"/>
      <c r="AF157" s="645"/>
      <c r="AG157" s="645"/>
      <c r="AH157" s="645"/>
      <c r="AI157" s="645"/>
      <c r="AJ157" s="645"/>
      <c r="AK157" s="645"/>
      <c r="AL157" s="645"/>
      <c r="AM157" s="645"/>
      <c r="AN157" s="645"/>
      <c r="AO157" s="645"/>
      <c r="AP157" s="645"/>
      <c r="AQ157" s="645"/>
      <c r="AR157" s="645"/>
      <c r="AS157" s="645"/>
      <c r="AT157" s="645"/>
      <c r="AU157" s="645"/>
      <c r="AV157" s="645"/>
      <c r="AW157" s="645"/>
      <c r="AX157" s="645"/>
      <c r="AY157" s="645"/>
      <c r="AZ157" s="645"/>
      <c r="BA157" s="645"/>
      <c r="BB157" s="645"/>
      <c r="BC157" s="645"/>
      <c r="BD157" s="645"/>
      <c r="BE157" s="645"/>
      <c r="BF157" s="645"/>
      <c r="BG157" s="645"/>
      <c r="BH157" s="645"/>
      <c r="BI157" s="645"/>
      <c r="BJ157" s="645"/>
      <c r="BK157" s="645"/>
      <c r="BL157" s="645"/>
      <c r="BM157" s="645"/>
      <c r="BN157" s="645"/>
      <c r="BO157" s="645"/>
      <c r="BP157" s="645"/>
      <c r="BQ157" s="645"/>
      <c r="BR157" s="645"/>
      <c r="BS157" s="645"/>
      <c r="BT157" s="645"/>
      <c r="BU157" s="645"/>
      <c r="BV157" s="645"/>
      <c r="BW157" s="645"/>
      <c r="BX157" s="645"/>
      <c r="BY157" s="645"/>
      <c r="BZ157" s="645"/>
      <c r="CA157" s="645"/>
      <c r="CB157" s="645"/>
      <c r="CC157" s="645"/>
      <c r="CD157" s="645"/>
      <c r="CE157" s="645"/>
      <c r="CF157" s="645"/>
      <c r="CG157" s="645"/>
      <c r="CH157" s="645"/>
      <c r="CI157" s="645"/>
      <c r="CJ157" s="645"/>
      <c r="CK157" s="645"/>
      <c r="CL157" s="645"/>
      <c r="CM157" s="645"/>
      <c r="CN157" s="645"/>
      <c r="CO157" s="645"/>
      <c r="CP157" s="645"/>
      <c r="CQ157" s="645"/>
      <c r="CR157" s="645"/>
      <c r="CS157" s="645"/>
      <c r="CT157" s="645"/>
      <c r="CU157" s="645"/>
      <c r="CV157" s="645"/>
      <c r="CW157" s="645"/>
      <c r="CX157" s="645"/>
      <c r="CY157" s="645"/>
      <c r="CZ157" s="645"/>
      <c r="DA157" s="645"/>
      <c r="DB157" s="645"/>
      <c r="DC157" s="645"/>
      <c r="DD157" s="645"/>
      <c r="DE157" s="645"/>
      <c r="DF157" s="645"/>
      <c r="DG157" s="645"/>
      <c r="DH157" s="645"/>
      <c r="DI157" s="645"/>
      <c r="DJ157" s="645"/>
      <c r="DK157" s="645"/>
      <c r="DL157" s="645"/>
      <c r="DM157" s="645"/>
      <c r="DN157" s="645"/>
      <c r="DO157" s="645"/>
      <c r="DP157" s="645"/>
      <c r="DQ157" s="645"/>
      <c r="DR157" s="645"/>
      <c r="DS157" s="645"/>
      <c r="DT157" s="645"/>
      <c r="DU157" s="645"/>
      <c r="DV157" s="645"/>
      <c r="DW157" s="645"/>
      <c r="DX157" s="645"/>
      <c r="DY157" s="645"/>
      <c r="DZ157" s="645"/>
    </row>
    <row r="158" spans="1:130">
      <c r="A158" s="645"/>
      <c r="B158" s="645"/>
      <c r="C158" s="645"/>
      <c r="D158" s="645"/>
      <c r="E158" s="645"/>
      <c r="F158" s="645"/>
      <c r="G158" s="645"/>
      <c r="H158" s="645"/>
      <c r="I158" s="645"/>
      <c r="J158" s="645"/>
      <c r="K158" s="645"/>
      <c r="L158" s="645"/>
      <c r="M158" s="645"/>
      <c r="N158" s="645"/>
      <c r="O158" s="645"/>
      <c r="P158" s="645"/>
      <c r="Q158" s="645"/>
      <c r="R158" s="645"/>
      <c r="S158" s="645"/>
      <c r="T158" s="645"/>
      <c r="U158" s="645"/>
      <c r="V158" s="645"/>
      <c r="W158" s="645"/>
      <c r="X158" s="645"/>
      <c r="Y158" s="645"/>
      <c r="Z158" s="645"/>
      <c r="AA158" s="645"/>
      <c r="AB158" s="645"/>
      <c r="AC158" s="645"/>
      <c r="AD158" s="645"/>
      <c r="AE158" s="645"/>
      <c r="AF158" s="645"/>
      <c r="AG158" s="645"/>
      <c r="AH158" s="645"/>
      <c r="AI158" s="645"/>
      <c r="AJ158" s="645"/>
      <c r="AK158" s="645"/>
      <c r="AL158" s="645"/>
      <c r="AM158" s="645"/>
      <c r="AN158" s="645"/>
      <c r="AO158" s="645"/>
      <c r="AP158" s="645"/>
      <c r="AQ158" s="645"/>
      <c r="AR158" s="645"/>
      <c r="AS158" s="645"/>
      <c r="AT158" s="645"/>
      <c r="AU158" s="645"/>
      <c r="AV158" s="645"/>
      <c r="AW158" s="645"/>
      <c r="AX158" s="645"/>
      <c r="AY158" s="645"/>
      <c r="AZ158" s="645"/>
      <c r="BA158" s="645"/>
      <c r="BB158" s="645"/>
      <c r="BC158" s="645"/>
      <c r="BD158" s="645"/>
      <c r="BE158" s="645"/>
      <c r="BF158" s="645"/>
      <c r="BG158" s="645"/>
      <c r="BH158" s="645"/>
      <c r="BI158" s="645"/>
      <c r="BJ158" s="645"/>
      <c r="BK158" s="645"/>
      <c r="BL158" s="645"/>
      <c r="BM158" s="645"/>
      <c r="BN158" s="645"/>
      <c r="BO158" s="645"/>
      <c r="BP158" s="645"/>
      <c r="BQ158" s="645"/>
      <c r="BR158" s="645"/>
      <c r="BS158" s="645"/>
      <c r="BT158" s="645"/>
      <c r="BU158" s="645"/>
      <c r="BV158" s="645"/>
      <c r="BW158" s="645"/>
      <c r="BX158" s="645"/>
      <c r="BY158" s="645"/>
      <c r="BZ158" s="645"/>
      <c r="CA158" s="645"/>
      <c r="CB158" s="645"/>
      <c r="CC158" s="645"/>
      <c r="CD158" s="645"/>
      <c r="CE158" s="645"/>
      <c r="CF158" s="645"/>
      <c r="CG158" s="645"/>
      <c r="CH158" s="645"/>
      <c r="CI158" s="645"/>
      <c r="CJ158" s="645"/>
      <c r="CK158" s="645"/>
      <c r="CL158" s="645"/>
      <c r="CM158" s="645"/>
      <c r="CN158" s="645"/>
      <c r="CO158" s="645"/>
      <c r="CP158" s="645"/>
      <c r="CQ158" s="645"/>
      <c r="CR158" s="645"/>
      <c r="CS158" s="645"/>
      <c r="CT158" s="645"/>
      <c r="CU158" s="645"/>
      <c r="CV158" s="645"/>
      <c r="CW158" s="645"/>
      <c r="CX158" s="645"/>
      <c r="CY158" s="645"/>
      <c r="CZ158" s="645"/>
      <c r="DA158" s="645"/>
      <c r="DB158" s="645"/>
      <c r="DC158" s="645"/>
      <c r="DD158" s="645"/>
      <c r="DE158" s="645"/>
      <c r="DF158" s="645"/>
      <c r="DG158" s="645"/>
      <c r="DH158" s="645"/>
      <c r="DI158" s="645"/>
      <c r="DJ158" s="645"/>
      <c r="DK158" s="645"/>
      <c r="DL158" s="645"/>
      <c r="DM158" s="645"/>
      <c r="DN158" s="645"/>
      <c r="DO158" s="645"/>
      <c r="DP158" s="645"/>
      <c r="DQ158" s="645"/>
      <c r="DR158" s="645"/>
      <c r="DS158" s="645"/>
      <c r="DT158" s="645"/>
      <c r="DU158" s="645"/>
      <c r="DV158" s="645"/>
      <c r="DW158" s="645"/>
      <c r="DX158" s="645"/>
      <c r="DY158" s="645"/>
      <c r="DZ158" s="645"/>
    </row>
    <row r="159" spans="1:130">
      <c r="A159" s="645"/>
      <c r="B159" s="645"/>
      <c r="C159" s="645"/>
      <c r="D159" s="645"/>
      <c r="E159" s="645"/>
      <c r="F159" s="645"/>
      <c r="G159" s="645"/>
      <c r="H159" s="645"/>
      <c r="I159" s="645"/>
      <c r="J159" s="645"/>
      <c r="K159" s="645"/>
      <c r="L159" s="645"/>
      <c r="M159" s="645"/>
      <c r="N159" s="645"/>
      <c r="O159" s="645"/>
      <c r="P159" s="645"/>
      <c r="Q159" s="645"/>
      <c r="R159" s="645"/>
      <c r="S159" s="645"/>
      <c r="T159" s="645"/>
      <c r="U159" s="645"/>
      <c r="V159" s="645"/>
      <c r="W159" s="645"/>
      <c r="X159" s="645"/>
      <c r="Y159" s="645"/>
      <c r="Z159" s="645"/>
      <c r="AA159" s="645"/>
      <c r="AB159" s="645"/>
      <c r="AC159" s="645"/>
      <c r="AD159" s="645"/>
      <c r="AE159" s="645"/>
      <c r="AF159" s="645"/>
      <c r="AG159" s="645"/>
      <c r="AH159" s="645"/>
      <c r="AI159" s="645"/>
      <c r="AJ159" s="645"/>
      <c r="AK159" s="645"/>
      <c r="AL159" s="645"/>
      <c r="AM159" s="645"/>
      <c r="AN159" s="645"/>
      <c r="AO159" s="645"/>
      <c r="AP159" s="645"/>
      <c r="AQ159" s="645"/>
      <c r="AR159" s="645"/>
      <c r="AS159" s="645"/>
      <c r="AT159" s="645"/>
      <c r="AU159" s="645"/>
      <c r="AV159" s="645"/>
      <c r="AW159" s="645"/>
      <c r="AX159" s="645"/>
      <c r="AY159" s="645"/>
      <c r="AZ159" s="645"/>
      <c r="BA159" s="645"/>
      <c r="BB159" s="645"/>
      <c r="BC159" s="645"/>
      <c r="BD159" s="645"/>
      <c r="BE159" s="645"/>
      <c r="BF159" s="645"/>
      <c r="BG159" s="645"/>
      <c r="BH159" s="645"/>
      <c r="BI159" s="645"/>
      <c r="BJ159" s="645"/>
      <c r="BK159" s="645"/>
      <c r="BL159" s="645"/>
      <c r="BM159" s="645"/>
      <c r="BN159" s="645"/>
      <c r="BO159" s="645"/>
      <c r="BP159" s="645"/>
      <c r="BQ159" s="645"/>
      <c r="BR159" s="645"/>
      <c r="BS159" s="645"/>
      <c r="BT159" s="645"/>
      <c r="BU159" s="645"/>
      <c r="BV159" s="645"/>
      <c r="BW159" s="645"/>
      <c r="BX159" s="645"/>
      <c r="BY159" s="645"/>
      <c r="BZ159" s="645"/>
      <c r="CA159" s="645"/>
      <c r="CB159" s="645"/>
      <c r="CC159" s="645"/>
      <c r="CD159" s="645"/>
      <c r="CE159" s="645"/>
      <c r="CF159" s="645"/>
      <c r="CG159" s="645"/>
      <c r="CH159" s="645"/>
      <c r="CI159" s="645"/>
      <c r="CJ159" s="645"/>
      <c r="CK159" s="645"/>
      <c r="CL159" s="645"/>
      <c r="CM159" s="645"/>
      <c r="CN159" s="645"/>
      <c r="CO159" s="645"/>
      <c r="CP159" s="645"/>
      <c r="CQ159" s="645"/>
      <c r="CR159" s="645"/>
      <c r="CS159" s="645"/>
      <c r="CT159" s="645"/>
      <c r="CU159" s="645"/>
      <c r="CV159" s="645"/>
      <c r="CW159" s="645"/>
      <c r="CX159" s="645"/>
      <c r="CY159" s="645"/>
      <c r="CZ159" s="645"/>
      <c r="DA159" s="645"/>
      <c r="DB159" s="645"/>
      <c r="DC159" s="645"/>
      <c r="DD159" s="645"/>
      <c r="DE159" s="645"/>
      <c r="DF159" s="645"/>
      <c r="DG159" s="645"/>
      <c r="DH159" s="645"/>
      <c r="DI159" s="645"/>
      <c r="DJ159" s="645"/>
      <c r="DK159" s="645"/>
      <c r="DL159" s="645"/>
      <c r="DM159" s="645"/>
      <c r="DN159" s="645"/>
      <c r="DO159" s="645"/>
      <c r="DP159" s="645"/>
      <c r="DQ159" s="645"/>
      <c r="DR159" s="645"/>
      <c r="DS159" s="645"/>
      <c r="DT159" s="645"/>
      <c r="DU159" s="645"/>
      <c r="DV159" s="645"/>
      <c r="DW159" s="645"/>
      <c r="DX159" s="645"/>
      <c r="DY159" s="645"/>
      <c r="DZ159" s="645"/>
    </row>
    <row r="160" spans="1:130">
      <c r="A160" s="645"/>
      <c r="B160" s="645"/>
      <c r="C160" s="645"/>
      <c r="D160" s="645"/>
      <c r="E160" s="645"/>
      <c r="F160" s="645"/>
      <c r="G160" s="645"/>
      <c r="H160" s="645"/>
      <c r="I160" s="645"/>
      <c r="J160" s="645"/>
      <c r="K160" s="645"/>
      <c r="L160" s="645"/>
      <c r="M160" s="645"/>
      <c r="N160" s="645"/>
      <c r="O160" s="645"/>
      <c r="P160" s="645"/>
      <c r="Q160" s="645"/>
      <c r="R160" s="645"/>
      <c r="S160" s="645"/>
      <c r="T160" s="645"/>
      <c r="U160" s="645"/>
      <c r="V160" s="645"/>
      <c r="W160" s="645"/>
      <c r="X160" s="645"/>
      <c r="Y160" s="645"/>
      <c r="Z160" s="645"/>
      <c r="AA160" s="645"/>
      <c r="AB160" s="645"/>
      <c r="AC160" s="645"/>
      <c r="AD160" s="645"/>
      <c r="AE160" s="645"/>
      <c r="AF160" s="645"/>
      <c r="AG160" s="645"/>
      <c r="AH160" s="645"/>
      <c r="AI160" s="645"/>
      <c r="AJ160" s="645"/>
      <c r="AK160" s="645"/>
      <c r="AL160" s="645"/>
      <c r="AM160" s="645"/>
      <c r="AN160" s="645"/>
      <c r="AO160" s="645"/>
      <c r="AP160" s="645"/>
      <c r="AQ160" s="645"/>
      <c r="AR160" s="645"/>
      <c r="AS160" s="645"/>
      <c r="AT160" s="645"/>
      <c r="AU160" s="645"/>
      <c r="AV160" s="645"/>
      <c r="AW160" s="645"/>
      <c r="AX160" s="645"/>
      <c r="AY160" s="645"/>
      <c r="AZ160" s="645"/>
      <c r="BA160" s="645"/>
      <c r="BB160" s="645"/>
      <c r="BC160" s="645"/>
      <c r="BD160" s="645"/>
      <c r="BE160" s="645"/>
      <c r="BF160" s="645"/>
      <c r="BG160" s="645"/>
      <c r="BH160" s="645"/>
      <c r="BI160" s="645"/>
      <c r="BJ160" s="645"/>
      <c r="BK160" s="645"/>
      <c r="BL160" s="645"/>
      <c r="BM160" s="645"/>
      <c r="BN160" s="645"/>
      <c r="BO160" s="645"/>
      <c r="BP160" s="645"/>
      <c r="BQ160" s="645"/>
      <c r="BR160" s="645"/>
      <c r="BS160" s="645"/>
      <c r="BT160" s="645"/>
      <c r="BU160" s="645"/>
      <c r="BV160" s="645"/>
      <c r="BW160" s="645"/>
      <c r="BX160" s="645"/>
      <c r="BY160" s="645"/>
      <c r="BZ160" s="645"/>
      <c r="CA160" s="645"/>
      <c r="CB160" s="645"/>
      <c r="CC160" s="645"/>
      <c r="CD160" s="645"/>
      <c r="CE160" s="645"/>
      <c r="CF160" s="645"/>
      <c r="CG160" s="645"/>
      <c r="CH160" s="645"/>
      <c r="CI160" s="645"/>
      <c r="CJ160" s="645"/>
      <c r="CK160" s="645"/>
      <c r="CL160" s="645"/>
      <c r="CM160" s="645"/>
      <c r="CN160" s="645"/>
      <c r="CO160" s="645"/>
      <c r="CP160" s="645"/>
      <c r="CQ160" s="645"/>
      <c r="CR160" s="645"/>
      <c r="CS160" s="645"/>
      <c r="CT160" s="645"/>
      <c r="CU160" s="645"/>
      <c r="CV160" s="645"/>
      <c r="CW160" s="645"/>
      <c r="CX160" s="645"/>
      <c r="CY160" s="645"/>
      <c r="CZ160" s="645"/>
      <c r="DA160" s="645"/>
      <c r="DB160" s="645"/>
      <c r="DC160" s="645"/>
      <c r="DD160" s="645"/>
      <c r="DE160" s="645"/>
      <c r="DF160" s="645"/>
      <c r="DG160" s="645"/>
      <c r="DH160" s="645"/>
      <c r="DI160" s="645"/>
      <c r="DJ160" s="645"/>
      <c r="DK160" s="645"/>
      <c r="DL160" s="645"/>
      <c r="DM160" s="645"/>
      <c r="DN160" s="645"/>
      <c r="DO160" s="645"/>
      <c r="DP160" s="645"/>
      <c r="DQ160" s="645"/>
      <c r="DR160" s="645"/>
      <c r="DS160" s="645"/>
      <c r="DT160" s="645"/>
      <c r="DU160" s="645"/>
      <c r="DV160" s="645"/>
      <c r="DW160" s="645"/>
      <c r="DX160" s="645"/>
      <c r="DY160" s="645"/>
      <c r="DZ160" s="645"/>
    </row>
    <row r="161" spans="1:130">
      <c r="A161" s="645"/>
      <c r="B161" s="645"/>
      <c r="C161" s="645"/>
      <c r="D161" s="645"/>
      <c r="E161" s="645"/>
      <c r="F161" s="645"/>
      <c r="G161" s="645"/>
      <c r="H161" s="645"/>
      <c r="I161" s="645"/>
      <c r="J161" s="645"/>
      <c r="K161" s="645"/>
      <c r="L161" s="645"/>
      <c r="M161" s="645"/>
      <c r="N161" s="645"/>
      <c r="O161" s="645"/>
      <c r="P161" s="645"/>
      <c r="Q161" s="645"/>
      <c r="R161" s="645"/>
      <c r="S161" s="645"/>
      <c r="T161" s="645"/>
      <c r="U161" s="645"/>
      <c r="V161" s="645"/>
      <c r="W161" s="645"/>
      <c r="X161" s="645"/>
      <c r="Y161" s="645"/>
      <c r="Z161" s="645"/>
      <c r="AA161" s="645"/>
      <c r="AB161" s="645"/>
      <c r="AC161" s="645"/>
      <c r="AD161" s="645"/>
      <c r="AE161" s="645"/>
      <c r="AF161" s="645"/>
      <c r="AG161" s="645"/>
      <c r="AH161" s="645"/>
      <c r="AI161" s="645"/>
      <c r="AJ161" s="645"/>
      <c r="AK161" s="645"/>
      <c r="AL161" s="645"/>
      <c r="AM161" s="645"/>
      <c r="AN161" s="645"/>
      <c r="AO161" s="645"/>
      <c r="AP161" s="645"/>
      <c r="AQ161" s="645"/>
      <c r="AR161" s="645"/>
      <c r="AS161" s="645"/>
      <c r="AT161" s="645"/>
      <c r="AU161" s="645"/>
      <c r="AV161" s="645"/>
      <c r="AW161" s="645"/>
      <c r="AX161" s="645"/>
      <c r="AY161" s="645"/>
      <c r="AZ161" s="645"/>
      <c r="BA161" s="645"/>
      <c r="BB161" s="645"/>
      <c r="BC161" s="645"/>
      <c r="BD161" s="645"/>
      <c r="BE161" s="645"/>
      <c r="BF161" s="645"/>
      <c r="BG161" s="645"/>
      <c r="BH161" s="645"/>
      <c r="BI161" s="645"/>
      <c r="BJ161" s="645"/>
      <c r="BK161" s="645"/>
      <c r="BL161" s="645"/>
      <c r="BM161" s="645"/>
      <c r="BN161" s="645"/>
      <c r="BO161" s="645"/>
      <c r="BP161" s="645"/>
      <c r="BQ161" s="645"/>
      <c r="BR161" s="645"/>
      <c r="BS161" s="645"/>
      <c r="BT161" s="645"/>
      <c r="BU161" s="645"/>
      <c r="BV161" s="645"/>
      <c r="BW161" s="645"/>
      <c r="BX161" s="645"/>
      <c r="BY161" s="645"/>
      <c r="BZ161" s="645"/>
      <c r="CA161" s="645"/>
      <c r="CB161" s="645"/>
      <c r="CC161" s="645"/>
      <c r="CD161" s="645"/>
      <c r="CE161" s="645"/>
      <c r="CF161" s="645"/>
      <c r="CG161" s="645"/>
      <c r="CH161" s="645"/>
      <c r="CI161" s="645"/>
      <c r="CJ161" s="645"/>
      <c r="CK161" s="645"/>
      <c r="CL161" s="645"/>
      <c r="CM161" s="645"/>
      <c r="CN161" s="645"/>
      <c r="CO161" s="645"/>
      <c r="CP161" s="645"/>
      <c r="CQ161" s="645"/>
      <c r="CR161" s="645"/>
      <c r="CS161" s="645"/>
      <c r="CT161" s="645"/>
      <c r="CU161" s="645"/>
      <c r="CV161" s="645"/>
      <c r="CW161" s="645"/>
      <c r="CX161" s="645"/>
      <c r="CY161" s="645"/>
      <c r="CZ161" s="645"/>
      <c r="DA161" s="645"/>
      <c r="DB161" s="645"/>
      <c r="DC161" s="645"/>
      <c r="DD161" s="645"/>
      <c r="DE161" s="645"/>
      <c r="DF161" s="645"/>
      <c r="DG161" s="645"/>
      <c r="DH161" s="645"/>
      <c r="DI161" s="645"/>
      <c r="DJ161" s="645"/>
      <c r="DK161" s="645"/>
      <c r="DL161" s="645"/>
      <c r="DM161" s="645"/>
      <c r="DN161" s="645"/>
      <c r="DO161" s="645"/>
      <c r="DP161" s="645"/>
      <c r="DQ161" s="645"/>
      <c r="DR161" s="645"/>
      <c r="DS161" s="645"/>
      <c r="DT161" s="645"/>
      <c r="DU161" s="645"/>
      <c r="DV161" s="645"/>
      <c r="DW161" s="645"/>
      <c r="DX161" s="645"/>
      <c r="DY161" s="645"/>
      <c r="DZ161" s="645"/>
    </row>
    <row r="162" spans="1:130">
      <c r="A162" s="645"/>
      <c r="B162" s="645"/>
      <c r="C162" s="645"/>
      <c r="D162" s="645"/>
      <c r="E162" s="645"/>
      <c r="F162" s="645"/>
      <c r="G162" s="645"/>
      <c r="H162" s="645"/>
      <c r="I162" s="645"/>
      <c r="J162" s="645"/>
      <c r="K162" s="645"/>
      <c r="L162" s="645"/>
      <c r="M162" s="645"/>
      <c r="N162" s="645"/>
      <c r="O162" s="645"/>
      <c r="P162" s="645"/>
      <c r="Q162" s="645"/>
      <c r="R162" s="645"/>
      <c r="S162" s="645"/>
      <c r="T162" s="645"/>
      <c r="U162" s="645"/>
      <c r="V162" s="645"/>
      <c r="W162" s="645"/>
      <c r="X162" s="645"/>
      <c r="Y162" s="645"/>
      <c r="Z162" s="645"/>
      <c r="AA162" s="645"/>
      <c r="AB162" s="645"/>
      <c r="AC162" s="645"/>
      <c r="AD162" s="645"/>
      <c r="AE162" s="645"/>
      <c r="AF162" s="645"/>
      <c r="AG162" s="645"/>
      <c r="AH162" s="645"/>
      <c r="AI162" s="645"/>
      <c r="AJ162" s="645"/>
      <c r="AK162" s="645"/>
      <c r="AL162" s="645"/>
      <c r="AM162" s="645"/>
      <c r="AN162" s="645"/>
      <c r="AO162" s="645"/>
      <c r="AP162" s="645"/>
      <c r="AQ162" s="645"/>
      <c r="AR162" s="645"/>
      <c r="AS162" s="645"/>
      <c r="AT162" s="645"/>
      <c r="AU162" s="645"/>
      <c r="AV162" s="645"/>
      <c r="AW162" s="645"/>
      <c r="AX162" s="645"/>
      <c r="AY162" s="645"/>
      <c r="AZ162" s="645"/>
      <c r="BA162" s="645"/>
      <c r="BB162" s="645"/>
      <c r="BC162" s="645"/>
      <c r="BD162" s="645"/>
      <c r="BE162" s="645"/>
      <c r="BF162" s="645"/>
      <c r="BG162" s="645"/>
      <c r="BH162" s="645"/>
      <c r="BI162" s="645"/>
      <c r="BJ162" s="645"/>
      <c r="BK162" s="645"/>
      <c r="BL162" s="645"/>
      <c r="BM162" s="645"/>
      <c r="BN162" s="645"/>
      <c r="BO162" s="645"/>
      <c r="BP162" s="645"/>
      <c r="BQ162" s="645"/>
      <c r="BR162" s="645"/>
      <c r="BS162" s="645"/>
      <c r="BT162" s="645"/>
      <c r="BU162" s="645"/>
      <c r="BV162" s="645"/>
      <c r="BW162" s="645"/>
      <c r="BX162" s="645"/>
      <c r="BY162" s="645"/>
      <c r="BZ162" s="645"/>
      <c r="CA162" s="645"/>
      <c r="CB162" s="645"/>
      <c r="CC162" s="645"/>
      <c r="CD162" s="645"/>
      <c r="CE162" s="645"/>
      <c r="CF162" s="645"/>
      <c r="CG162" s="645"/>
      <c r="CH162" s="645"/>
      <c r="CI162" s="645"/>
      <c r="CJ162" s="645"/>
      <c r="CK162" s="645"/>
      <c r="CL162" s="645"/>
      <c r="CM162" s="645"/>
      <c r="CN162" s="645"/>
      <c r="CO162" s="645"/>
      <c r="CP162" s="645"/>
      <c r="CQ162" s="645"/>
      <c r="CR162" s="645"/>
      <c r="CS162" s="645"/>
      <c r="CT162" s="645"/>
      <c r="CU162" s="645"/>
      <c r="CV162" s="645"/>
      <c r="CW162" s="645"/>
      <c r="CX162" s="645"/>
      <c r="CY162" s="645"/>
      <c r="CZ162" s="645"/>
      <c r="DA162" s="645"/>
      <c r="DB162" s="645"/>
      <c r="DC162" s="645"/>
      <c r="DD162" s="645"/>
      <c r="DE162" s="645"/>
      <c r="DF162" s="645"/>
      <c r="DG162" s="645"/>
      <c r="DH162" s="645"/>
      <c r="DI162" s="645"/>
      <c r="DJ162" s="645"/>
      <c r="DK162" s="645"/>
      <c r="DL162" s="645"/>
      <c r="DM162" s="645"/>
      <c r="DN162" s="645"/>
      <c r="DO162" s="645"/>
      <c r="DP162" s="645"/>
      <c r="DQ162" s="645"/>
      <c r="DR162" s="645"/>
      <c r="DS162" s="645"/>
      <c r="DT162" s="645"/>
      <c r="DU162" s="645"/>
      <c r="DV162" s="645"/>
      <c r="DW162" s="645"/>
      <c r="DX162" s="645"/>
      <c r="DY162" s="645"/>
      <c r="DZ162" s="645"/>
    </row>
    <row r="163" spans="1:130">
      <c r="A163" s="645"/>
      <c r="B163" s="645"/>
      <c r="C163" s="645"/>
      <c r="D163" s="645"/>
      <c r="E163" s="645"/>
      <c r="F163" s="645"/>
      <c r="G163" s="645"/>
      <c r="H163" s="645"/>
      <c r="I163" s="645"/>
      <c r="J163" s="645"/>
      <c r="K163" s="645"/>
      <c r="L163" s="645"/>
      <c r="M163" s="645"/>
      <c r="N163" s="645"/>
      <c r="O163" s="645"/>
      <c r="P163" s="645"/>
      <c r="Q163" s="645"/>
      <c r="R163" s="645"/>
      <c r="S163" s="645"/>
      <c r="T163" s="645"/>
      <c r="U163" s="645"/>
      <c r="V163" s="645"/>
      <c r="W163" s="645"/>
      <c r="X163" s="645"/>
      <c r="Y163" s="645"/>
      <c r="Z163" s="645"/>
      <c r="AA163" s="645"/>
      <c r="AB163" s="645"/>
      <c r="AC163" s="645"/>
      <c r="AD163" s="645"/>
      <c r="AE163" s="645"/>
      <c r="AF163" s="645"/>
      <c r="AG163" s="645"/>
      <c r="AH163" s="645"/>
      <c r="AI163" s="645"/>
      <c r="AJ163" s="645"/>
      <c r="AK163" s="645"/>
      <c r="AL163" s="645"/>
      <c r="AM163" s="645"/>
      <c r="AN163" s="645"/>
      <c r="AO163" s="645"/>
      <c r="AP163" s="645"/>
      <c r="AQ163" s="645"/>
      <c r="AR163" s="645"/>
      <c r="AS163" s="645"/>
      <c r="AT163" s="645"/>
      <c r="AU163" s="645"/>
      <c r="AV163" s="645"/>
      <c r="AW163" s="645"/>
      <c r="AX163" s="645"/>
      <c r="AY163" s="645"/>
      <c r="AZ163" s="645"/>
      <c r="BA163" s="645"/>
      <c r="BB163" s="645"/>
      <c r="BC163" s="645"/>
      <c r="BD163" s="645"/>
      <c r="BE163" s="645"/>
      <c r="BF163" s="645"/>
      <c r="BG163" s="645"/>
      <c r="BH163" s="645"/>
      <c r="BI163" s="645"/>
      <c r="BJ163" s="645"/>
      <c r="BK163" s="645"/>
      <c r="BL163" s="645"/>
      <c r="BM163" s="645"/>
      <c r="BN163" s="645"/>
      <c r="BO163" s="645"/>
      <c r="BP163" s="645"/>
      <c r="BQ163" s="645"/>
      <c r="BR163" s="645"/>
      <c r="BS163" s="645"/>
      <c r="BT163" s="645"/>
      <c r="BU163" s="645"/>
      <c r="BV163" s="645"/>
      <c r="BW163" s="645"/>
      <c r="BX163" s="645"/>
      <c r="BY163" s="645"/>
      <c r="BZ163" s="645"/>
      <c r="CA163" s="645"/>
      <c r="CB163" s="645"/>
      <c r="CC163" s="645"/>
      <c r="CD163" s="645"/>
      <c r="CE163" s="645"/>
      <c r="CF163" s="645"/>
      <c r="CG163" s="645"/>
      <c r="CH163" s="645"/>
      <c r="CI163" s="645"/>
      <c r="CJ163" s="645"/>
      <c r="CK163" s="645"/>
      <c r="CL163" s="645"/>
      <c r="CM163" s="645"/>
      <c r="CN163" s="645"/>
      <c r="CO163" s="645"/>
      <c r="CP163" s="645"/>
      <c r="CQ163" s="645"/>
      <c r="CR163" s="645"/>
      <c r="CS163" s="645"/>
      <c r="CT163" s="645"/>
      <c r="CU163" s="645"/>
      <c r="CV163" s="645"/>
      <c r="CW163" s="645"/>
      <c r="CX163" s="645"/>
      <c r="CY163" s="645"/>
      <c r="CZ163" s="645"/>
      <c r="DA163" s="645"/>
      <c r="DB163" s="645"/>
      <c r="DC163" s="645"/>
      <c r="DD163" s="645"/>
      <c r="DE163" s="645"/>
      <c r="DF163" s="645"/>
      <c r="DG163" s="645"/>
      <c r="DH163" s="645"/>
      <c r="DI163" s="645"/>
      <c r="DJ163" s="645"/>
      <c r="DK163" s="645"/>
      <c r="DL163" s="645"/>
      <c r="DM163" s="645"/>
      <c r="DN163" s="645"/>
      <c r="DO163" s="645"/>
      <c r="DP163" s="645"/>
      <c r="DQ163" s="645"/>
      <c r="DR163" s="645"/>
      <c r="DS163" s="645"/>
      <c r="DT163" s="645"/>
      <c r="DU163" s="645"/>
      <c r="DV163" s="645"/>
      <c r="DW163" s="645"/>
      <c r="DX163" s="645"/>
      <c r="DY163" s="645"/>
      <c r="DZ163" s="645"/>
    </row>
    <row r="164" spans="1:130">
      <c r="A164" s="645"/>
      <c r="B164" s="645"/>
      <c r="C164" s="645"/>
      <c r="D164" s="645"/>
      <c r="E164" s="645"/>
      <c r="F164" s="645"/>
      <c r="G164" s="645"/>
      <c r="H164" s="645"/>
      <c r="I164" s="645"/>
      <c r="J164" s="645"/>
      <c r="K164" s="645"/>
      <c r="L164" s="645"/>
      <c r="M164" s="645"/>
      <c r="N164" s="645"/>
      <c r="O164" s="645"/>
      <c r="P164" s="645"/>
      <c r="Q164" s="645"/>
      <c r="R164" s="645"/>
      <c r="S164" s="645"/>
      <c r="T164" s="645"/>
      <c r="U164" s="645"/>
      <c r="V164" s="645"/>
      <c r="W164" s="645"/>
      <c r="X164" s="645"/>
      <c r="Y164" s="645"/>
      <c r="Z164" s="645"/>
      <c r="AA164" s="645"/>
      <c r="AB164" s="645"/>
      <c r="AC164" s="645"/>
      <c r="AD164" s="645"/>
      <c r="AE164" s="645"/>
      <c r="AF164" s="645"/>
      <c r="AG164" s="645"/>
      <c r="AH164" s="645"/>
      <c r="AI164" s="645"/>
      <c r="AJ164" s="645"/>
      <c r="AK164" s="645"/>
      <c r="AL164" s="645"/>
      <c r="AM164" s="645"/>
      <c r="AN164" s="645"/>
      <c r="AO164" s="645"/>
      <c r="AP164" s="645"/>
      <c r="AQ164" s="645"/>
      <c r="AR164" s="645"/>
      <c r="AS164" s="645"/>
      <c r="AT164" s="645"/>
      <c r="AU164" s="645"/>
      <c r="AV164" s="645"/>
      <c r="AW164" s="645"/>
      <c r="AX164" s="645"/>
      <c r="AY164" s="645"/>
      <c r="AZ164" s="645"/>
      <c r="BA164" s="645"/>
      <c r="BB164" s="645"/>
      <c r="BC164" s="645"/>
      <c r="BD164" s="645"/>
      <c r="BE164" s="645"/>
      <c r="BF164" s="645"/>
      <c r="BG164" s="645"/>
      <c r="BH164" s="645"/>
      <c r="BI164" s="645"/>
      <c r="BJ164" s="645"/>
      <c r="BK164" s="645"/>
      <c r="BL164" s="645"/>
      <c r="BM164" s="645"/>
      <c r="BN164" s="645"/>
      <c r="BO164" s="645"/>
      <c r="BP164" s="645"/>
      <c r="BQ164" s="645"/>
      <c r="BR164" s="645"/>
      <c r="BS164" s="645"/>
      <c r="BT164" s="645"/>
      <c r="BU164" s="645"/>
      <c r="BV164" s="645"/>
      <c r="BW164" s="645"/>
      <c r="BX164" s="645"/>
      <c r="BY164" s="645"/>
      <c r="BZ164" s="645"/>
      <c r="CA164" s="645"/>
      <c r="CB164" s="645"/>
      <c r="CC164" s="645"/>
      <c r="CD164" s="645"/>
      <c r="CE164" s="645"/>
      <c r="CF164" s="645"/>
      <c r="CG164" s="645"/>
      <c r="CH164" s="645"/>
      <c r="CI164" s="645"/>
      <c r="CJ164" s="645"/>
      <c r="CK164" s="645"/>
      <c r="CL164" s="645"/>
      <c r="CM164" s="645"/>
      <c r="CN164" s="645"/>
      <c r="CO164" s="645"/>
      <c r="CP164" s="645"/>
      <c r="CQ164" s="645"/>
      <c r="CR164" s="645"/>
      <c r="CS164" s="645"/>
      <c r="CT164" s="645"/>
      <c r="CU164" s="645"/>
      <c r="CV164" s="645"/>
      <c r="CW164" s="645"/>
      <c r="CX164" s="645"/>
      <c r="CY164" s="645"/>
      <c r="CZ164" s="645"/>
      <c r="DA164" s="645"/>
      <c r="DB164" s="645"/>
      <c r="DC164" s="645"/>
      <c r="DD164" s="645"/>
      <c r="DE164" s="645"/>
      <c r="DF164" s="645"/>
      <c r="DG164" s="645"/>
      <c r="DH164" s="645"/>
      <c r="DI164" s="645"/>
      <c r="DJ164" s="645"/>
      <c r="DK164" s="645"/>
      <c r="DL164" s="645"/>
      <c r="DM164" s="645"/>
      <c r="DN164" s="645"/>
      <c r="DO164" s="645"/>
      <c r="DP164" s="645"/>
      <c r="DQ164" s="645"/>
      <c r="DR164" s="645"/>
      <c r="DS164" s="645"/>
      <c r="DT164" s="645"/>
      <c r="DU164" s="645"/>
      <c r="DV164" s="645"/>
      <c r="DW164" s="645"/>
      <c r="DX164" s="645"/>
      <c r="DY164" s="645"/>
      <c r="DZ164" s="645"/>
    </row>
    <row r="165" spans="1:130">
      <c r="A165" s="645"/>
      <c r="B165" s="645"/>
      <c r="C165" s="645"/>
      <c r="D165" s="645"/>
      <c r="E165" s="645"/>
      <c r="F165" s="645"/>
      <c r="G165" s="645"/>
      <c r="H165" s="645"/>
      <c r="I165" s="645"/>
      <c r="J165" s="645"/>
      <c r="K165" s="645"/>
      <c r="L165" s="645"/>
      <c r="M165" s="645"/>
      <c r="N165" s="645"/>
      <c r="O165" s="645"/>
      <c r="P165" s="645"/>
      <c r="Q165" s="645"/>
      <c r="R165" s="645"/>
      <c r="S165" s="645"/>
      <c r="T165" s="645"/>
      <c r="U165" s="645"/>
      <c r="V165" s="645"/>
      <c r="W165" s="645"/>
      <c r="X165" s="645"/>
      <c r="Y165" s="645"/>
      <c r="Z165" s="645"/>
      <c r="AA165" s="645"/>
      <c r="AB165" s="645"/>
      <c r="AC165" s="645"/>
      <c r="AD165" s="645"/>
      <c r="AE165" s="645"/>
      <c r="AF165" s="645"/>
      <c r="AG165" s="645"/>
      <c r="AH165" s="645"/>
      <c r="AI165" s="645"/>
      <c r="AJ165" s="645"/>
      <c r="AK165" s="645"/>
      <c r="AL165" s="645"/>
      <c r="AM165" s="645"/>
      <c r="AN165" s="645"/>
      <c r="AO165" s="645"/>
      <c r="AP165" s="645"/>
      <c r="AQ165" s="645"/>
      <c r="AR165" s="645"/>
      <c r="AS165" s="645"/>
      <c r="AT165" s="645"/>
      <c r="AU165" s="645"/>
      <c r="AV165" s="645"/>
      <c r="AW165" s="645"/>
      <c r="AX165" s="645"/>
      <c r="AY165" s="645"/>
      <c r="AZ165" s="645"/>
      <c r="BA165" s="645"/>
      <c r="BB165" s="645"/>
      <c r="BC165" s="645"/>
      <c r="BD165" s="645"/>
      <c r="BE165" s="645"/>
      <c r="BF165" s="645"/>
      <c r="BG165" s="645"/>
      <c r="BH165" s="645"/>
      <c r="BI165" s="645"/>
      <c r="BJ165" s="645"/>
      <c r="BK165" s="645"/>
      <c r="BL165" s="645"/>
      <c r="BM165" s="645"/>
      <c r="BN165" s="645"/>
      <c r="BO165" s="645"/>
      <c r="BP165" s="645"/>
      <c r="BQ165" s="645"/>
      <c r="BR165" s="645"/>
      <c r="BS165" s="645"/>
      <c r="BT165" s="645"/>
      <c r="BU165" s="645"/>
      <c r="BV165" s="645"/>
      <c r="BW165" s="645"/>
      <c r="BX165" s="645"/>
      <c r="BY165" s="645"/>
      <c r="BZ165" s="645"/>
      <c r="CA165" s="645"/>
      <c r="CB165" s="645"/>
      <c r="CC165" s="645"/>
      <c r="CD165" s="645"/>
      <c r="CE165" s="645"/>
      <c r="CF165" s="645"/>
      <c r="CG165" s="645"/>
      <c r="CH165" s="645"/>
      <c r="CI165" s="645"/>
      <c r="CJ165" s="645"/>
      <c r="CK165" s="645"/>
      <c r="CL165" s="645"/>
      <c r="CM165" s="645"/>
      <c r="CN165" s="645"/>
      <c r="CO165" s="645"/>
      <c r="CP165" s="645"/>
      <c r="CQ165" s="645"/>
      <c r="CR165" s="645"/>
      <c r="CS165" s="645"/>
      <c r="CT165" s="645"/>
      <c r="CU165" s="645"/>
      <c r="CV165" s="645"/>
      <c r="CW165" s="645"/>
      <c r="CX165" s="645"/>
      <c r="CY165" s="645"/>
      <c r="CZ165" s="645"/>
      <c r="DA165" s="645"/>
      <c r="DB165" s="645"/>
      <c r="DC165" s="645"/>
      <c r="DD165" s="645"/>
      <c r="DE165" s="645"/>
      <c r="DF165" s="645"/>
      <c r="DG165" s="645"/>
      <c r="DH165" s="645"/>
      <c r="DI165" s="645"/>
      <c r="DJ165" s="645"/>
      <c r="DK165" s="645"/>
      <c r="DL165" s="645"/>
      <c r="DM165" s="645"/>
      <c r="DN165" s="645"/>
      <c r="DO165" s="645"/>
      <c r="DP165" s="645"/>
      <c r="DQ165" s="645"/>
      <c r="DR165" s="645"/>
      <c r="DS165" s="645"/>
      <c r="DT165" s="645"/>
      <c r="DU165" s="645"/>
      <c r="DV165" s="645"/>
      <c r="DW165" s="645"/>
      <c r="DX165" s="645"/>
      <c r="DY165" s="645"/>
      <c r="DZ165" s="645"/>
    </row>
    <row r="166" spans="1:130">
      <c r="A166" s="645"/>
      <c r="B166" s="645"/>
      <c r="C166" s="645"/>
      <c r="D166" s="645"/>
      <c r="E166" s="645"/>
      <c r="F166" s="645"/>
      <c r="G166" s="645"/>
      <c r="H166" s="645"/>
      <c r="I166" s="645"/>
      <c r="J166" s="645"/>
      <c r="K166" s="645"/>
      <c r="L166" s="645"/>
      <c r="M166" s="645"/>
      <c r="N166" s="645"/>
      <c r="O166" s="645"/>
      <c r="P166" s="645"/>
      <c r="Q166" s="645"/>
      <c r="R166" s="645"/>
      <c r="S166" s="645"/>
      <c r="T166" s="645"/>
      <c r="U166" s="645"/>
      <c r="V166" s="645"/>
      <c r="W166" s="645"/>
      <c r="X166" s="645"/>
      <c r="Y166" s="645"/>
      <c r="Z166" s="645"/>
      <c r="AA166" s="645"/>
      <c r="AB166" s="645"/>
      <c r="AC166" s="645"/>
      <c r="AD166" s="645"/>
      <c r="AE166" s="645"/>
      <c r="AF166" s="645"/>
      <c r="AG166" s="645"/>
      <c r="AH166" s="645"/>
      <c r="AI166" s="645"/>
      <c r="AJ166" s="645"/>
      <c r="AK166" s="645"/>
      <c r="AL166" s="645"/>
      <c r="AM166" s="645"/>
      <c r="AN166" s="645"/>
      <c r="AO166" s="645"/>
      <c r="AP166" s="645"/>
      <c r="AQ166" s="645"/>
      <c r="AR166" s="645"/>
      <c r="AS166" s="645"/>
      <c r="AT166" s="645"/>
      <c r="AU166" s="645"/>
      <c r="AV166" s="645"/>
      <c r="AW166" s="645"/>
      <c r="AX166" s="645"/>
      <c r="AY166" s="645"/>
      <c r="AZ166" s="645"/>
      <c r="BA166" s="645"/>
      <c r="BB166" s="645"/>
      <c r="BC166" s="645"/>
      <c r="BD166" s="645"/>
      <c r="BE166" s="645"/>
      <c r="BF166" s="645"/>
      <c r="BG166" s="645"/>
      <c r="BH166" s="645"/>
      <c r="BI166" s="645"/>
      <c r="BJ166" s="645"/>
      <c r="BK166" s="645"/>
      <c r="BL166" s="645"/>
      <c r="BM166" s="645"/>
      <c r="BN166" s="645"/>
      <c r="BO166" s="645"/>
      <c r="BP166" s="645"/>
      <c r="BQ166" s="645"/>
      <c r="BR166" s="645"/>
      <c r="BS166" s="645"/>
      <c r="BT166" s="645"/>
      <c r="BU166" s="645"/>
      <c r="BV166" s="645"/>
      <c r="BW166" s="645"/>
      <c r="BX166" s="645"/>
      <c r="BY166" s="645"/>
      <c r="BZ166" s="645"/>
      <c r="CA166" s="645"/>
      <c r="CB166" s="645"/>
      <c r="CC166" s="645"/>
      <c r="CD166" s="645"/>
      <c r="CE166" s="645"/>
      <c r="CF166" s="645"/>
      <c r="CG166" s="645"/>
      <c r="CH166" s="645"/>
      <c r="CI166" s="645"/>
      <c r="CJ166" s="645"/>
      <c r="CK166" s="645"/>
      <c r="CL166" s="645"/>
      <c r="CM166" s="645"/>
      <c r="CN166" s="645"/>
      <c r="CO166" s="645"/>
      <c r="CP166" s="645"/>
      <c r="CQ166" s="645"/>
      <c r="CR166" s="645"/>
      <c r="CS166" s="645"/>
      <c r="CT166" s="645"/>
      <c r="CU166" s="645"/>
      <c r="CV166" s="645"/>
      <c r="CW166" s="645"/>
      <c r="CX166" s="645"/>
      <c r="CY166" s="645"/>
      <c r="CZ166" s="645"/>
      <c r="DA166" s="645"/>
      <c r="DB166" s="645"/>
      <c r="DC166" s="645"/>
      <c r="DD166" s="645"/>
      <c r="DE166" s="645"/>
      <c r="DF166" s="645"/>
      <c r="DG166" s="645"/>
      <c r="DH166" s="645"/>
      <c r="DI166" s="645"/>
      <c r="DJ166" s="645"/>
      <c r="DK166" s="645"/>
      <c r="DL166" s="645"/>
      <c r="DM166" s="645"/>
      <c r="DN166" s="645"/>
      <c r="DO166" s="645"/>
      <c r="DP166" s="645"/>
      <c r="DQ166" s="645"/>
      <c r="DR166" s="645"/>
      <c r="DS166" s="645"/>
      <c r="DT166" s="645"/>
      <c r="DU166" s="645"/>
      <c r="DV166" s="645"/>
      <c r="DW166" s="645"/>
      <c r="DX166" s="645"/>
      <c r="DY166" s="645"/>
      <c r="DZ166" s="645"/>
    </row>
    <row r="167" spans="1:130">
      <c r="A167" s="645"/>
      <c r="B167" s="645"/>
      <c r="C167" s="645"/>
      <c r="D167" s="645"/>
      <c r="E167" s="645"/>
      <c r="F167" s="645"/>
      <c r="G167" s="645"/>
      <c r="H167" s="645"/>
      <c r="I167" s="645"/>
      <c r="J167" s="645"/>
      <c r="K167" s="645"/>
      <c r="L167" s="645"/>
      <c r="M167" s="645"/>
      <c r="N167" s="645"/>
      <c r="O167" s="645"/>
      <c r="P167" s="645"/>
      <c r="Q167" s="645"/>
      <c r="R167" s="645"/>
      <c r="S167" s="645"/>
      <c r="T167" s="645"/>
      <c r="U167" s="645"/>
      <c r="V167" s="645"/>
      <c r="W167" s="645"/>
      <c r="X167" s="645"/>
      <c r="Y167" s="645"/>
      <c r="Z167" s="645"/>
      <c r="AA167" s="645"/>
      <c r="AB167" s="645"/>
      <c r="AC167" s="645"/>
      <c r="AD167" s="645"/>
      <c r="AE167" s="645"/>
      <c r="AF167" s="645"/>
      <c r="AG167" s="645"/>
      <c r="AH167" s="645"/>
      <c r="AI167" s="645"/>
      <c r="AJ167" s="645"/>
      <c r="AK167" s="645"/>
      <c r="AL167" s="645"/>
      <c r="AM167" s="645"/>
      <c r="AN167" s="645"/>
      <c r="AO167" s="645"/>
      <c r="AP167" s="645"/>
      <c r="AQ167" s="645"/>
      <c r="AR167" s="645"/>
      <c r="AS167" s="645"/>
      <c r="AT167" s="645"/>
      <c r="AU167" s="645"/>
      <c r="AV167" s="645"/>
      <c r="AW167" s="645"/>
      <c r="AX167" s="645"/>
      <c r="AY167" s="645"/>
      <c r="AZ167" s="645"/>
      <c r="BA167" s="645"/>
      <c r="BB167" s="645"/>
      <c r="BC167" s="645"/>
      <c r="BD167" s="645"/>
      <c r="BE167" s="645"/>
      <c r="BF167" s="645"/>
      <c r="BG167" s="645"/>
      <c r="BH167" s="645"/>
      <c r="BI167" s="645"/>
      <c r="BJ167" s="645"/>
      <c r="BK167" s="645"/>
      <c r="BL167" s="645"/>
      <c r="BM167" s="645"/>
      <c r="BN167" s="645"/>
      <c r="BO167" s="645"/>
      <c r="BP167" s="645"/>
      <c r="BQ167" s="645"/>
      <c r="BR167" s="645"/>
      <c r="BS167" s="645"/>
      <c r="BT167" s="645"/>
      <c r="BU167" s="645"/>
      <c r="BV167" s="645"/>
      <c r="BW167" s="645"/>
      <c r="BX167" s="645"/>
      <c r="BY167" s="645"/>
      <c r="BZ167" s="645"/>
      <c r="CA167" s="645"/>
      <c r="CB167" s="645"/>
      <c r="CC167" s="645"/>
      <c r="CD167" s="645"/>
      <c r="CE167" s="645"/>
      <c r="CF167" s="645"/>
      <c r="CG167" s="645"/>
      <c r="CH167" s="645"/>
      <c r="CI167" s="645"/>
      <c r="CJ167" s="645"/>
      <c r="CK167" s="645"/>
      <c r="CL167" s="645"/>
      <c r="CM167" s="645"/>
      <c r="CN167" s="645"/>
      <c r="CO167" s="645"/>
      <c r="CP167" s="645"/>
      <c r="CQ167" s="645"/>
      <c r="CR167" s="645"/>
      <c r="CS167" s="645"/>
      <c r="CT167" s="645"/>
      <c r="CU167" s="645"/>
      <c r="CV167" s="645"/>
      <c r="CW167" s="645"/>
      <c r="CX167" s="645"/>
      <c r="CY167" s="645"/>
      <c r="CZ167" s="645"/>
      <c r="DA167" s="645"/>
      <c r="DB167" s="645"/>
      <c r="DC167" s="645"/>
      <c r="DD167" s="645"/>
      <c r="DE167" s="645"/>
      <c r="DF167" s="645"/>
      <c r="DG167" s="645"/>
      <c r="DH167" s="645"/>
      <c r="DI167" s="645"/>
      <c r="DJ167" s="645"/>
      <c r="DK167" s="645"/>
      <c r="DL167" s="645"/>
      <c r="DM167" s="645"/>
      <c r="DN167" s="645"/>
      <c r="DO167" s="645"/>
      <c r="DP167" s="645"/>
      <c r="DQ167" s="645"/>
      <c r="DR167" s="645"/>
      <c r="DS167" s="645"/>
      <c r="DT167" s="645"/>
      <c r="DU167" s="645"/>
      <c r="DV167" s="645"/>
      <c r="DW167" s="645"/>
      <c r="DX167" s="645"/>
      <c r="DY167" s="645"/>
      <c r="DZ167" s="645"/>
    </row>
    <row r="168" spans="1:130">
      <c r="A168" s="645"/>
      <c r="B168" s="645"/>
      <c r="C168" s="645"/>
      <c r="D168" s="645"/>
      <c r="E168" s="645"/>
      <c r="F168" s="645"/>
      <c r="G168" s="645"/>
      <c r="H168" s="645"/>
      <c r="I168" s="645"/>
      <c r="J168" s="645"/>
      <c r="K168" s="645"/>
      <c r="L168" s="645"/>
      <c r="M168" s="645"/>
      <c r="N168" s="645"/>
      <c r="O168" s="645"/>
      <c r="P168" s="645"/>
      <c r="Q168" s="645"/>
      <c r="R168" s="645"/>
      <c r="S168" s="645"/>
      <c r="T168" s="645"/>
      <c r="U168" s="645"/>
      <c r="V168" s="645"/>
      <c r="W168" s="645"/>
      <c r="X168" s="645"/>
      <c r="Y168" s="645"/>
      <c r="Z168" s="645"/>
      <c r="AA168" s="645"/>
      <c r="AB168" s="645"/>
      <c r="AC168" s="645"/>
      <c r="AD168" s="645"/>
      <c r="AE168" s="645"/>
      <c r="AF168" s="645"/>
      <c r="AG168" s="645"/>
      <c r="AH168" s="645"/>
      <c r="AI168" s="645"/>
      <c r="AJ168" s="645"/>
      <c r="AK168" s="645"/>
      <c r="AL168" s="645"/>
      <c r="AM168" s="645"/>
      <c r="AN168" s="645"/>
      <c r="AO168" s="645"/>
      <c r="AP168" s="645"/>
      <c r="AQ168" s="645"/>
      <c r="AR168" s="645"/>
      <c r="AS168" s="645"/>
      <c r="AT168" s="645"/>
      <c r="AU168" s="645"/>
      <c r="AV168" s="645"/>
      <c r="AW168" s="645"/>
      <c r="AX168" s="645"/>
      <c r="AY168" s="645"/>
      <c r="AZ168" s="645"/>
      <c r="BA168" s="645"/>
      <c r="BB168" s="645"/>
      <c r="BC168" s="645"/>
      <c r="BD168" s="645"/>
      <c r="BE168" s="645"/>
      <c r="BF168" s="645"/>
      <c r="BG168" s="645"/>
      <c r="BH168" s="645"/>
      <c r="BI168" s="645"/>
      <c r="BJ168" s="645"/>
      <c r="BK168" s="645"/>
      <c r="BL168" s="645"/>
      <c r="BM168" s="645"/>
      <c r="BN168" s="645"/>
      <c r="BO168" s="645"/>
      <c r="BP168" s="645"/>
      <c r="BQ168" s="645"/>
      <c r="BR168" s="645"/>
      <c r="BS168" s="645"/>
      <c r="BT168" s="645"/>
      <c r="BU168" s="645"/>
      <c r="BV168" s="645"/>
      <c r="BW168" s="645"/>
      <c r="BX168" s="645"/>
      <c r="BY168" s="645"/>
      <c r="BZ168" s="645"/>
      <c r="CA168" s="645"/>
      <c r="CB168" s="645"/>
      <c r="CC168" s="645"/>
      <c r="CD168" s="645"/>
      <c r="CE168" s="645"/>
      <c r="CF168" s="645"/>
      <c r="CG168" s="645"/>
      <c r="CH168" s="645"/>
      <c r="CI168" s="645"/>
      <c r="CJ168" s="645"/>
      <c r="CK168" s="645"/>
      <c r="CL168" s="645"/>
      <c r="CM168" s="645"/>
      <c r="CN168" s="645"/>
      <c r="CO168" s="645"/>
      <c r="CP168" s="645"/>
      <c r="CQ168" s="645"/>
      <c r="CR168" s="645"/>
      <c r="CS168" s="645"/>
      <c r="CT168" s="645"/>
      <c r="CU168" s="645"/>
      <c r="CV168" s="645"/>
      <c r="CW168" s="645"/>
      <c r="CX168" s="645"/>
      <c r="CY168" s="645"/>
      <c r="CZ168" s="645"/>
      <c r="DA168" s="645"/>
      <c r="DB168" s="645"/>
      <c r="DC168" s="645"/>
      <c r="DD168" s="645"/>
      <c r="DE168" s="645"/>
      <c r="DF168" s="645"/>
      <c r="DG168" s="645"/>
      <c r="DH168" s="645"/>
      <c r="DI168" s="645"/>
      <c r="DJ168" s="645"/>
      <c r="DK168" s="645"/>
      <c r="DL168" s="645"/>
      <c r="DM168" s="645"/>
      <c r="DN168" s="645"/>
      <c r="DO168" s="645"/>
      <c r="DP168" s="645"/>
      <c r="DQ168" s="645"/>
      <c r="DR168" s="645"/>
      <c r="DS168" s="645"/>
      <c r="DT168" s="645"/>
      <c r="DU168" s="645"/>
      <c r="DV168" s="645"/>
      <c r="DW168" s="645"/>
      <c r="DX168" s="645"/>
      <c r="DY168" s="645"/>
      <c r="DZ168" s="645"/>
    </row>
    <row r="169" spans="1:130">
      <c r="A169" s="645"/>
      <c r="B169" s="645"/>
      <c r="C169" s="645"/>
      <c r="D169" s="645"/>
      <c r="E169" s="645"/>
      <c r="F169" s="645"/>
      <c r="G169" s="645"/>
      <c r="H169" s="645"/>
      <c r="I169" s="645"/>
      <c r="J169" s="645"/>
      <c r="K169" s="645"/>
      <c r="L169" s="645"/>
      <c r="M169" s="645"/>
      <c r="N169" s="645"/>
      <c r="O169" s="645"/>
      <c r="P169" s="645"/>
      <c r="Q169" s="645"/>
      <c r="R169" s="645"/>
      <c r="S169" s="645"/>
      <c r="T169" s="645"/>
      <c r="U169" s="645"/>
      <c r="V169" s="645"/>
      <c r="W169" s="645"/>
      <c r="X169" s="645"/>
      <c r="Y169" s="645"/>
      <c r="Z169" s="645"/>
      <c r="AA169" s="645"/>
      <c r="AB169" s="645"/>
      <c r="AC169" s="645"/>
      <c r="AD169" s="645"/>
      <c r="AE169" s="645"/>
      <c r="AF169" s="645"/>
      <c r="AG169" s="645"/>
      <c r="AH169" s="645"/>
      <c r="AI169" s="645"/>
      <c r="AJ169" s="645"/>
      <c r="AK169" s="645"/>
      <c r="AL169" s="645"/>
      <c r="AM169" s="645"/>
      <c r="AN169" s="645"/>
      <c r="AO169" s="645"/>
      <c r="AP169" s="645"/>
      <c r="AQ169" s="645"/>
      <c r="AR169" s="645"/>
      <c r="AS169" s="645"/>
      <c r="AT169" s="645"/>
      <c r="AU169" s="645"/>
      <c r="AV169" s="645"/>
      <c r="AW169" s="645"/>
      <c r="AX169" s="645"/>
      <c r="AY169" s="645"/>
      <c r="AZ169" s="645"/>
      <c r="BA169" s="645"/>
      <c r="BB169" s="645"/>
      <c r="BC169" s="645"/>
      <c r="BD169" s="645"/>
      <c r="BE169" s="645"/>
      <c r="BF169" s="645"/>
      <c r="BG169" s="645"/>
      <c r="BH169" s="645"/>
      <c r="BI169" s="645"/>
      <c r="BJ169" s="645"/>
      <c r="BK169" s="645"/>
      <c r="BL169" s="645"/>
      <c r="BM169" s="645"/>
      <c r="BN169" s="645"/>
      <c r="BO169" s="645"/>
      <c r="BP169" s="645"/>
      <c r="BQ169" s="645"/>
      <c r="BR169" s="645"/>
      <c r="BS169" s="645"/>
      <c r="BT169" s="645"/>
      <c r="BU169" s="645"/>
      <c r="BV169" s="645"/>
      <c r="BW169" s="645"/>
      <c r="BX169" s="645"/>
      <c r="BY169" s="645"/>
      <c r="BZ169" s="645"/>
      <c r="CA169" s="645"/>
      <c r="CB169" s="645"/>
      <c r="CC169" s="645"/>
      <c r="CD169" s="645"/>
      <c r="CE169" s="645"/>
      <c r="CF169" s="645"/>
      <c r="CG169" s="645"/>
      <c r="CH169" s="645"/>
      <c r="CI169" s="645"/>
      <c r="CJ169" s="645"/>
      <c r="CK169" s="645"/>
      <c r="CL169" s="645"/>
      <c r="CM169" s="645"/>
      <c r="CN169" s="645"/>
      <c r="CO169" s="645"/>
      <c r="CP169" s="645"/>
      <c r="CQ169" s="645"/>
      <c r="CR169" s="645"/>
      <c r="CS169" s="645"/>
      <c r="CT169" s="645"/>
      <c r="CU169" s="645"/>
      <c r="CV169" s="645"/>
      <c r="CW169" s="645"/>
      <c r="CX169" s="645"/>
      <c r="CY169" s="645"/>
      <c r="CZ169" s="645"/>
      <c r="DA169" s="645"/>
      <c r="DB169" s="645"/>
      <c r="DC169" s="645"/>
      <c r="DD169" s="645"/>
      <c r="DE169" s="645"/>
      <c r="DF169" s="645"/>
      <c r="DG169" s="645"/>
      <c r="DH169" s="645"/>
      <c r="DI169" s="645"/>
      <c r="DJ169" s="645"/>
      <c r="DK169" s="645"/>
      <c r="DL169" s="645"/>
      <c r="DM169" s="645"/>
      <c r="DN169" s="645"/>
      <c r="DO169" s="645"/>
      <c r="DP169" s="645"/>
      <c r="DQ169" s="645"/>
      <c r="DR169" s="645"/>
      <c r="DS169" s="645"/>
      <c r="DT169" s="645"/>
      <c r="DU169" s="645"/>
      <c r="DV169" s="645"/>
      <c r="DW169" s="645"/>
      <c r="DX169" s="645"/>
      <c r="DY169" s="645"/>
      <c r="DZ169" s="645"/>
    </row>
    <row r="170" spans="1:130">
      <c r="A170" s="645"/>
      <c r="B170" s="645"/>
      <c r="C170" s="645"/>
      <c r="D170" s="645"/>
      <c r="E170" s="645"/>
      <c r="F170" s="645"/>
      <c r="G170" s="645"/>
      <c r="H170" s="645"/>
      <c r="I170" s="645"/>
      <c r="J170" s="645"/>
      <c r="K170" s="645"/>
      <c r="L170" s="645"/>
      <c r="M170" s="645"/>
      <c r="N170" s="645"/>
      <c r="O170" s="645"/>
      <c r="P170" s="645"/>
      <c r="Q170" s="645"/>
      <c r="R170" s="645"/>
      <c r="S170" s="645"/>
      <c r="T170" s="645"/>
      <c r="U170" s="645"/>
      <c r="V170" s="645"/>
      <c r="W170" s="645"/>
      <c r="X170" s="645"/>
      <c r="Y170" s="645"/>
      <c r="Z170" s="645"/>
      <c r="AA170" s="645"/>
      <c r="AB170" s="645"/>
      <c r="AC170" s="645"/>
      <c r="AD170" s="645"/>
      <c r="AE170" s="645"/>
      <c r="AF170" s="645"/>
      <c r="AG170" s="645"/>
      <c r="AH170" s="645"/>
      <c r="AI170" s="645"/>
      <c r="AJ170" s="645"/>
      <c r="AK170" s="645"/>
      <c r="AL170" s="645"/>
      <c r="AM170" s="645"/>
      <c r="AN170" s="645"/>
      <c r="AO170" s="645"/>
      <c r="AP170" s="645"/>
      <c r="AQ170" s="645"/>
      <c r="AR170" s="645"/>
      <c r="AS170" s="645"/>
      <c r="AT170" s="645"/>
      <c r="AU170" s="645"/>
      <c r="AV170" s="645"/>
      <c r="AW170" s="645"/>
      <c r="AX170" s="645"/>
      <c r="AY170" s="645"/>
      <c r="AZ170" s="645"/>
      <c r="BA170" s="645"/>
      <c r="BB170" s="645"/>
      <c r="BC170" s="645"/>
      <c r="BD170" s="645"/>
      <c r="BE170" s="645"/>
      <c r="BF170" s="645"/>
      <c r="BG170" s="645"/>
      <c r="BH170" s="645"/>
      <c r="BI170" s="645"/>
      <c r="BJ170" s="645"/>
      <c r="BK170" s="645"/>
      <c r="BL170" s="645"/>
      <c r="BM170" s="645"/>
      <c r="BN170" s="645"/>
      <c r="BO170" s="645"/>
      <c r="BP170" s="645"/>
      <c r="BQ170" s="645"/>
      <c r="BR170" s="645"/>
      <c r="BS170" s="645"/>
      <c r="BT170" s="645"/>
      <c r="BU170" s="645"/>
      <c r="BV170" s="645"/>
      <c r="BW170" s="645"/>
      <c r="BX170" s="645"/>
      <c r="BY170" s="645"/>
      <c r="BZ170" s="645"/>
      <c r="CA170" s="645"/>
      <c r="CB170" s="645"/>
      <c r="CC170" s="645"/>
      <c r="CD170" s="645"/>
      <c r="CE170" s="645"/>
      <c r="CF170" s="645"/>
      <c r="CG170" s="645"/>
      <c r="CH170" s="645"/>
      <c r="CI170" s="645"/>
      <c r="CJ170" s="645"/>
      <c r="CK170" s="645"/>
      <c r="CL170" s="645"/>
      <c r="CM170" s="645"/>
      <c r="CN170" s="645"/>
      <c r="CO170" s="645"/>
      <c r="CP170" s="645"/>
      <c r="CQ170" s="645"/>
      <c r="CR170" s="645"/>
      <c r="CS170" s="645"/>
      <c r="CT170" s="645"/>
      <c r="CU170" s="645"/>
      <c r="CV170" s="645"/>
      <c r="CW170" s="645"/>
      <c r="CX170" s="645"/>
      <c r="CY170" s="645"/>
      <c r="CZ170" s="645"/>
      <c r="DA170" s="645"/>
      <c r="DB170" s="645"/>
      <c r="DC170" s="645"/>
      <c r="DD170" s="645"/>
      <c r="DE170" s="645"/>
      <c r="DF170" s="645"/>
      <c r="DG170" s="645"/>
      <c r="DH170" s="645"/>
      <c r="DI170" s="645"/>
      <c r="DJ170" s="645"/>
      <c r="DK170" s="645"/>
      <c r="DL170" s="645"/>
      <c r="DM170" s="645"/>
      <c r="DN170" s="645"/>
      <c r="DO170" s="645"/>
      <c r="DP170" s="645"/>
      <c r="DQ170" s="645"/>
      <c r="DR170" s="645"/>
      <c r="DS170" s="645"/>
      <c r="DT170" s="645"/>
      <c r="DU170" s="645"/>
      <c r="DV170" s="645"/>
      <c r="DW170" s="645"/>
      <c r="DX170" s="645"/>
      <c r="DY170" s="645"/>
      <c r="DZ170" s="645"/>
    </row>
    <row r="171" spans="1:130">
      <c r="A171" s="645"/>
      <c r="B171" s="645"/>
      <c r="C171" s="645"/>
      <c r="D171" s="645"/>
      <c r="E171" s="645"/>
      <c r="F171" s="645"/>
      <c r="G171" s="645"/>
      <c r="H171" s="645"/>
      <c r="I171" s="645"/>
      <c r="J171" s="645"/>
      <c r="K171" s="645"/>
      <c r="L171" s="645"/>
      <c r="M171" s="645"/>
      <c r="N171" s="645"/>
      <c r="O171" s="645"/>
      <c r="P171" s="645"/>
      <c r="Q171" s="645"/>
      <c r="R171" s="645"/>
      <c r="S171" s="645"/>
      <c r="T171" s="645"/>
      <c r="U171" s="645"/>
      <c r="V171" s="645"/>
      <c r="W171" s="645"/>
      <c r="X171" s="645"/>
      <c r="Y171" s="645"/>
      <c r="Z171" s="645"/>
      <c r="AA171" s="645"/>
      <c r="AB171" s="645"/>
      <c r="AC171" s="645"/>
      <c r="AD171" s="645"/>
      <c r="AE171" s="645"/>
      <c r="AF171" s="645"/>
      <c r="AG171" s="645"/>
      <c r="AH171" s="645"/>
      <c r="AI171" s="645"/>
      <c r="AJ171" s="645"/>
      <c r="AK171" s="645"/>
      <c r="AL171" s="645"/>
      <c r="AM171" s="645"/>
      <c r="AN171" s="645"/>
      <c r="AO171" s="645"/>
      <c r="AP171" s="645"/>
      <c r="AQ171" s="645"/>
      <c r="AR171" s="645"/>
      <c r="AS171" s="645"/>
      <c r="AT171" s="645"/>
      <c r="AU171" s="645"/>
      <c r="AV171" s="645"/>
      <c r="AW171" s="645"/>
      <c r="AX171" s="645"/>
      <c r="AY171" s="645"/>
      <c r="AZ171" s="645"/>
      <c r="BA171" s="645"/>
      <c r="BB171" s="645"/>
      <c r="BC171" s="645"/>
      <c r="BD171" s="645"/>
      <c r="BE171" s="645"/>
      <c r="BF171" s="645"/>
      <c r="BG171" s="645"/>
      <c r="BH171" s="645"/>
      <c r="BI171" s="645"/>
      <c r="BJ171" s="645"/>
      <c r="BK171" s="645"/>
      <c r="BL171" s="645"/>
      <c r="BM171" s="645"/>
      <c r="BN171" s="645"/>
      <c r="BO171" s="645"/>
      <c r="BP171" s="645"/>
      <c r="BQ171" s="645"/>
      <c r="BR171" s="645"/>
      <c r="BS171" s="645"/>
      <c r="BT171" s="645"/>
      <c r="BU171" s="645"/>
      <c r="BV171" s="645"/>
      <c r="BW171" s="645"/>
      <c r="BX171" s="645"/>
      <c r="BY171" s="645"/>
      <c r="BZ171" s="645"/>
      <c r="CA171" s="645"/>
      <c r="CB171" s="645"/>
      <c r="CC171" s="645"/>
      <c r="CD171" s="645"/>
      <c r="CE171" s="645"/>
      <c r="CF171" s="645"/>
      <c r="CG171" s="645"/>
      <c r="CH171" s="645"/>
      <c r="CI171" s="645"/>
      <c r="CJ171" s="645"/>
      <c r="CK171" s="645"/>
      <c r="CL171" s="645"/>
      <c r="CM171" s="645"/>
      <c r="CN171" s="645"/>
      <c r="CO171" s="645"/>
      <c r="CP171" s="645"/>
      <c r="CQ171" s="645"/>
      <c r="CR171" s="645"/>
      <c r="CS171" s="645"/>
      <c r="CT171" s="645"/>
      <c r="CU171" s="645"/>
      <c r="CV171" s="645"/>
      <c r="CW171" s="645"/>
      <c r="CX171" s="645"/>
      <c r="CY171" s="645"/>
      <c r="CZ171" s="645"/>
      <c r="DA171" s="645"/>
      <c r="DB171" s="645"/>
      <c r="DC171" s="645"/>
      <c r="DD171" s="645"/>
      <c r="DE171" s="645"/>
      <c r="DF171" s="645"/>
      <c r="DG171" s="645"/>
      <c r="DH171" s="645"/>
      <c r="DI171" s="645"/>
      <c r="DJ171" s="645"/>
      <c r="DK171" s="645"/>
      <c r="DL171" s="645"/>
      <c r="DM171" s="645"/>
      <c r="DN171" s="645"/>
      <c r="DO171" s="645"/>
      <c r="DP171" s="645"/>
      <c r="DQ171" s="645"/>
      <c r="DR171" s="645"/>
      <c r="DS171" s="645"/>
      <c r="DT171" s="645"/>
      <c r="DU171" s="645"/>
      <c r="DV171" s="645"/>
      <c r="DW171" s="645"/>
      <c r="DX171" s="645"/>
      <c r="DY171" s="645"/>
      <c r="DZ171" s="645"/>
    </row>
    <row r="172" spans="1:130">
      <c r="A172" s="645"/>
      <c r="B172" s="645"/>
      <c r="C172" s="645"/>
      <c r="D172" s="645"/>
      <c r="E172" s="645"/>
      <c r="F172" s="645"/>
      <c r="G172" s="645"/>
      <c r="H172" s="645"/>
      <c r="I172" s="645"/>
      <c r="J172" s="645"/>
      <c r="K172" s="645"/>
      <c r="L172" s="645"/>
      <c r="M172" s="645"/>
      <c r="N172" s="645"/>
      <c r="O172" s="645"/>
      <c r="P172" s="645"/>
      <c r="Q172" s="645"/>
      <c r="R172" s="645"/>
      <c r="S172" s="645"/>
      <c r="T172" s="645"/>
      <c r="U172" s="645"/>
      <c r="V172" s="645"/>
      <c r="W172" s="645"/>
      <c r="X172" s="645"/>
      <c r="Y172" s="645"/>
      <c r="Z172" s="645"/>
      <c r="AA172" s="645"/>
      <c r="AB172" s="645"/>
      <c r="AC172" s="645"/>
      <c r="AD172" s="645"/>
      <c r="AE172" s="645"/>
      <c r="AF172" s="645"/>
      <c r="AG172" s="645"/>
      <c r="AH172" s="645"/>
      <c r="AI172" s="645"/>
      <c r="AJ172" s="645"/>
      <c r="AK172" s="645"/>
      <c r="AL172" s="645"/>
      <c r="AM172" s="645"/>
      <c r="AN172" s="645"/>
      <c r="AO172" s="645"/>
      <c r="AP172" s="645"/>
      <c r="AQ172" s="645"/>
      <c r="AR172" s="645"/>
      <c r="AS172" s="645"/>
      <c r="AT172" s="645"/>
      <c r="AU172" s="645"/>
      <c r="AV172" s="645"/>
      <c r="AW172" s="645"/>
      <c r="AX172" s="645"/>
      <c r="AY172" s="645"/>
      <c r="AZ172" s="645"/>
      <c r="BA172" s="645"/>
      <c r="BB172" s="645"/>
      <c r="BC172" s="645"/>
      <c r="BD172" s="645"/>
      <c r="BE172" s="645"/>
      <c r="BF172" s="645"/>
      <c r="BG172" s="645"/>
      <c r="BH172" s="645"/>
      <c r="BI172" s="645"/>
      <c r="BJ172" s="645"/>
      <c r="BK172" s="645"/>
      <c r="BL172" s="645"/>
      <c r="BM172" s="645"/>
      <c r="BN172" s="645"/>
      <c r="BO172" s="645"/>
      <c r="BP172" s="645"/>
      <c r="BQ172" s="645"/>
      <c r="BR172" s="645"/>
      <c r="BS172" s="645"/>
      <c r="BT172" s="645"/>
      <c r="BU172" s="645"/>
      <c r="BV172" s="645"/>
      <c r="BW172" s="645"/>
      <c r="BX172" s="645"/>
      <c r="BY172" s="645"/>
      <c r="BZ172" s="645"/>
      <c r="CA172" s="645"/>
      <c r="CB172" s="645"/>
      <c r="CC172" s="645"/>
      <c r="CD172" s="645"/>
      <c r="CE172" s="645"/>
      <c r="CF172" s="645"/>
      <c r="CG172" s="645"/>
      <c r="CH172" s="645"/>
      <c r="CI172" s="645"/>
      <c r="CJ172" s="645"/>
      <c r="CK172" s="645"/>
      <c r="CL172" s="645"/>
      <c r="CM172" s="645"/>
      <c r="CN172" s="645"/>
      <c r="CO172" s="645"/>
      <c r="CP172" s="645"/>
      <c r="CQ172" s="645"/>
      <c r="CR172" s="645"/>
      <c r="CS172" s="645"/>
      <c r="CT172" s="645"/>
      <c r="CU172" s="645"/>
      <c r="CV172" s="645"/>
      <c r="CW172" s="645"/>
      <c r="CX172" s="645"/>
      <c r="CY172" s="645"/>
      <c r="CZ172" s="645"/>
      <c r="DA172" s="645"/>
      <c r="DB172" s="645"/>
      <c r="DC172" s="645"/>
      <c r="DD172" s="645"/>
      <c r="DE172" s="645"/>
      <c r="DF172" s="645"/>
      <c r="DG172" s="645"/>
      <c r="DH172" s="645"/>
      <c r="DI172" s="645"/>
      <c r="DJ172" s="645"/>
      <c r="DK172" s="645"/>
      <c r="DL172" s="645"/>
      <c r="DM172" s="645"/>
      <c r="DN172" s="645"/>
      <c r="DO172" s="645"/>
      <c r="DP172" s="645"/>
      <c r="DQ172" s="645"/>
      <c r="DR172" s="645"/>
      <c r="DS172" s="645"/>
      <c r="DT172" s="645"/>
      <c r="DU172" s="645"/>
      <c r="DV172" s="645"/>
      <c r="DW172" s="645"/>
      <c r="DX172" s="645"/>
      <c r="DY172" s="645"/>
      <c r="DZ172" s="645"/>
    </row>
    <row r="173" spans="1:130">
      <c r="A173" s="645"/>
      <c r="B173" s="645"/>
      <c r="C173" s="645"/>
      <c r="D173" s="645"/>
      <c r="E173" s="645"/>
      <c r="F173" s="645"/>
      <c r="G173" s="645"/>
      <c r="H173" s="645"/>
      <c r="I173" s="645"/>
      <c r="J173" s="645"/>
      <c r="K173" s="645"/>
      <c r="L173" s="645"/>
      <c r="M173" s="645"/>
      <c r="N173" s="645"/>
      <c r="O173" s="645"/>
      <c r="P173" s="645"/>
      <c r="Q173" s="645"/>
      <c r="R173" s="645"/>
      <c r="S173" s="645"/>
      <c r="T173" s="645"/>
      <c r="U173" s="645"/>
      <c r="V173" s="645"/>
      <c r="W173" s="645"/>
      <c r="X173" s="645"/>
      <c r="Y173" s="645"/>
      <c r="Z173" s="645"/>
      <c r="AA173" s="645"/>
      <c r="AB173" s="645"/>
      <c r="AC173" s="645"/>
      <c r="AD173" s="645"/>
      <c r="AE173" s="645"/>
      <c r="AF173" s="645"/>
      <c r="AG173" s="645"/>
      <c r="AH173" s="645"/>
      <c r="AI173" s="645"/>
      <c r="AJ173" s="645"/>
      <c r="AK173" s="645"/>
      <c r="AL173" s="645"/>
      <c r="AM173" s="645"/>
      <c r="AN173" s="645"/>
      <c r="AO173" s="645"/>
      <c r="AP173" s="645"/>
      <c r="AQ173" s="645"/>
      <c r="AR173" s="645"/>
      <c r="AS173" s="645"/>
      <c r="AT173" s="645"/>
      <c r="AU173" s="645"/>
      <c r="AV173" s="645"/>
      <c r="AW173" s="645"/>
      <c r="AX173" s="645"/>
      <c r="AY173" s="645"/>
      <c r="AZ173" s="645"/>
      <c r="BA173" s="645"/>
      <c r="BB173" s="645"/>
      <c r="BC173" s="645"/>
      <c r="BD173" s="645"/>
      <c r="BE173" s="645"/>
      <c r="BF173" s="645"/>
      <c r="BG173" s="645"/>
      <c r="BH173" s="645"/>
      <c r="BI173" s="645"/>
      <c r="BJ173" s="645"/>
      <c r="BK173" s="645"/>
      <c r="BL173" s="645"/>
      <c r="BM173" s="645"/>
      <c r="BN173" s="645"/>
      <c r="BO173" s="645"/>
      <c r="BP173" s="645"/>
      <c r="BQ173" s="645"/>
      <c r="BR173" s="645"/>
      <c r="BS173" s="645"/>
      <c r="BT173" s="645"/>
      <c r="BU173" s="645"/>
      <c r="BV173" s="645"/>
      <c r="BW173" s="645"/>
      <c r="BX173" s="645"/>
      <c r="BY173" s="645"/>
      <c r="BZ173" s="645"/>
      <c r="CA173" s="645"/>
      <c r="CB173" s="645"/>
      <c r="CC173" s="645"/>
      <c r="CD173" s="645"/>
      <c r="CE173" s="645"/>
      <c r="CF173" s="645"/>
      <c r="CG173" s="645"/>
      <c r="CH173" s="645"/>
      <c r="CI173" s="645"/>
      <c r="CJ173" s="645"/>
      <c r="CK173" s="645"/>
      <c r="CL173" s="645"/>
      <c r="CM173" s="645"/>
      <c r="CN173" s="645"/>
      <c r="CO173" s="645"/>
      <c r="CP173" s="645"/>
      <c r="CQ173" s="645"/>
      <c r="CR173" s="645"/>
      <c r="CS173" s="645"/>
      <c r="CT173" s="645"/>
      <c r="CU173" s="645"/>
      <c r="CV173" s="645"/>
      <c r="CW173" s="645"/>
      <c r="CX173" s="645"/>
      <c r="CY173" s="645"/>
      <c r="CZ173" s="645"/>
      <c r="DA173" s="645"/>
      <c r="DB173" s="645"/>
      <c r="DC173" s="645"/>
      <c r="DD173" s="645"/>
      <c r="DE173" s="645"/>
      <c r="DF173" s="645"/>
      <c r="DG173" s="645"/>
      <c r="DH173" s="645"/>
      <c r="DI173" s="645"/>
      <c r="DJ173" s="645"/>
      <c r="DK173" s="645"/>
      <c r="DL173" s="645"/>
      <c r="DM173" s="645"/>
      <c r="DN173" s="645"/>
      <c r="DO173" s="645"/>
      <c r="DP173" s="645"/>
      <c r="DQ173" s="645"/>
      <c r="DR173" s="645"/>
      <c r="DS173" s="645"/>
      <c r="DT173" s="645"/>
      <c r="DU173" s="645"/>
      <c r="DV173" s="645"/>
      <c r="DW173" s="645"/>
      <c r="DX173" s="645"/>
      <c r="DY173" s="645"/>
      <c r="DZ173" s="645"/>
    </row>
    <row r="174" spans="1:130">
      <c r="A174" s="645"/>
      <c r="B174" s="645"/>
      <c r="C174" s="645"/>
      <c r="D174" s="645"/>
      <c r="E174" s="645"/>
      <c r="F174" s="645"/>
      <c r="G174" s="645"/>
      <c r="H174" s="645"/>
      <c r="I174" s="645"/>
      <c r="J174" s="645"/>
      <c r="K174" s="645"/>
      <c r="L174" s="645"/>
      <c r="M174" s="645"/>
      <c r="N174" s="645"/>
      <c r="O174" s="645"/>
      <c r="P174" s="645"/>
      <c r="Q174" s="645"/>
      <c r="R174" s="645"/>
      <c r="S174" s="645"/>
      <c r="T174" s="645"/>
      <c r="U174" s="645"/>
      <c r="V174" s="645"/>
      <c r="W174" s="645"/>
      <c r="X174" s="645"/>
      <c r="Y174" s="645"/>
      <c r="Z174" s="645"/>
      <c r="AA174" s="645"/>
      <c r="AB174" s="645"/>
      <c r="AC174" s="645"/>
      <c r="AD174" s="645"/>
      <c r="AE174" s="645"/>
      <c r="AF174" s="645"/>
      <c r="AG174" s="645"/>
      <c r="AH174" s="645"/>
      <c r="AI174" s="645"/>
      <c r="AJ174" s="645"/>
      <c r="AK174" s="645"/>
      <c r="AL174" s="645"/>
      <c r="AM174" s="645"/>
      <c r="AN174" s="645"/>
      <c r="AO174" s="645"/>
      <c r="AP174" s="645"/>
      <c r="AQ174" s="645"/>
      <c r="AR174" s="645"/>
      <c r="AS174" s="645"/>
      <c r="AT174" s="645"/>
      <c r="AU174" s="645"/>
      <c r="AV174" s="645"/>
      <c r="AW174" s="645"/>
      <c r="AX174" s="645"/>
      <c r="AY174" s="645"/>
      <c r="AZ174" s="645"/>
      <c r="BA174" s="645"/>
      <c r="BB174" s="645"/>
      <c r="BC174" s="645"/>
      <c r="BD174" s="645"/>
      <c r="BE174" s="645"/>
      <c r="BF174" s="645"/>
      <c r="BG174" s="645"/>
      <c r="BH174" s="645"/>
      <c r="BI174" s="645"/>
      <c r="BJ174" s="645"/>
      <c r="BK174" s="645"/>
      <c r="BL174" s="645"/>
      <c r="BM174" s="645"/>
      <c r="BN174" s="645"/>
      <c r="BO174" s="645"/>
      <c r="BP174" s="645"/>
      <c r="BQ174" s="645"/>
      <c r="BR174" s="645"/>
      <c r="BS174" s="645"/>
      <c r="BT174" s="645"/>
      <c r="BU174" s="645"/>
      <c r="BV174" s="645"/>
      <c r="BW174" s="645"/>
      <c r="BX174" s="645"/>
      <c r="BY174" s="645"/>
      <c r="BZ174" s="645"/>
      <c r="CA174" s="645"/>
      <c r="CB174" s="645"/>
      <c r="CC174" s="645"/>
      <c r="CD174" s="645"/>
      <c r="CE174" s="645"/>
      <c r="CF174" s="645"/>
      <c r="CG174" s="645"/>
      <c r="CH174" s="645"/>
      <c r="CI174" s="645"/>
      <c r="CJ174" s="645"/>
      <c r="CK174" s="645"/>
      <c r="CL174" s="645"/>
      <c r="CM174" s="645"/>
      <c r="CN174" s="645"/>
      <c r="CO174" s="645"/>
      <c r="CP174" s="645"/>
      <c r="CQ174" s="645"/>
      <c r="CR174" s="645"/>
      <c r="CS174" s="645"/>
      <c r="CT174" s="645"/>
      <c r="CU174" s="645"/>
      <c r="CV174" s="645"/>
      <c r="CW174" s="645"/>
      <c r="CX174" s="645"/>
      <c r="CY174" s="645"/>
      <c r="CZ174" s="645"/>
      <c r="DA174" s="645"/>
      <c r="DB174" s="645"/>
      <c r="DC174" s="645"/>
      <c r="DD174" s="645"/>
      <c r="DE174" s="645"/>
      <c r="DF174" s="645"/>
      <c r="DG174" s="645"/>
      <c r="DH174" s="645"/>
      <c r="DI174" s="645"/>
      <c r="DJ174" s="645"/>
      <c r="DK174" s="645"/>
      <c r="DL174" s="645"/>
      <c r="DM174" s="645"/>
      <c r="DN174" s="645"/>
      <c r="DO174" s="645"/>
      <c r="DP174" s="645"/>
      <c r="DQ174" s="645"/>
      <c r="DR174" s="645"/>
      <c r="DS174" s="645"/>
      <c r="DT174" s="645"/>
      <c r="DU174" s="645"/>
      <c r="DV174" s="645"/>
      <c r="DW174" s="645"/>
      <c r="DX174" s="645"/>
      <c r="DY174" s="645"/>
      <c r="DZ174" s="645"/>
    </row>
    <row r="175" spans="1:130">
      <c r="A175" s="645"/>
      <c r="B175" s="645"/>
      <c r="C175" s="645"/>
      <c r="D175" s="645"/>
      <c r="E175" s="645"/>
      <c r="F175" s="645"/>
      <c r="G175" s="645"/>
      <c r="H175" s="645"/>
      <c r="I175" s="645"/>
      <c r="J175" s="645"/>
      <c r="K175" s="645"/>
      <c r="L175" s="645"/>
      <c r="M175" s="645"/>
      <c r="N175" s="645"/>
      <c r="O175" s="645"/>
      <c r="P175" s="645"/>
      <c r="Q175" s="645"/>
      <c r="R175" s="645"/>
      <c r="S175" s="645"/>
      <c r="T175" s="645"/>
      <c r="U175" s="645"/>
      <c r="V175" s="645"/>
      <c r="W175" s="645"/>
      <c r="X175" s="645"/>
      <c r="Y175" s="645"/>
      <c r="Z175" s="645"/>
      <c r="AA175" s="645"/>
      <c r="AB175" s="645"/>
      <c r="AC175" s="645"/>
      <c r="AD175" s="645"/>
      <c r="AE175" s="645"/>
      <c r="AF175" s="645"/>
      <c r="AG175" s="645"/>
      <c r="AH175" s="645"/>
      <c r="AI175" s="645"/>
      <c r="AJ175" s="645"/>
      <c r="AK175" s="645"/>
      <c r="AL175" s="645"/>
      <c r="AM175" s="645"/>
      <c r="AN175" s="645"/>
      <c r="AO175" s="645"/>
      <c r="AP175" s="645"/>
      <c r="AQ175" s="645"/>
      <c r="AR175" s="645"/>
      <c r="AS175" s="645"/>
      <c r="AT175" s="645"/>
      <c r="AU175" s="645"/>
      <c r="AV175" s="645"/>
      <c r="AW175" s="645"/>
      <c r="AX175" s="645"/>
      <c r="AY175" s="645"/>
      <c r="AZ175" s="645"/>
      <c r="BA175" s="645"/>
      <c r="BB175" s="645"/>
      <c r="BC175" s="645"/>
      <c r="BD175" s="645"/>
      <c r="BE175" s="645"/>
      <c r="BF175" s="645"/>
      <c r="BG175" s="645"/>
      <c r="BH175" s="645"/>
      <c r="BI175" s="645"/>
      <c r="BJ175" s="645"/>
      <c r="BK175" s="645"/>
      <c r="BL175" s="645"/>
      <c r="BM175" s="645"/>
      <c r="BN175" s="645"/>
      <c r="BO175" s="645"/>
      <c r="BP175" s="645"/>
      <c r="BQ175" s="645"/>
      <c r="BR175" s="645"/>
      <c r="BS175" s="645"/>
      <c r="BT175" s="645"/>
      <c r="BU175" s="645"/>
      <c r="BV175" s="645"/>
      <c r="BW175" s="645"/>
      <c r="BX175" s="645"/>
      <c r="BY175" s="645"/>
      <c r="BZ175" s="645"/>
      <c r="CA175" s="645"/>
      <c r="CB175" s="645"/>
      <c r="CC175" s="645"/>
      <c r="CD175" s="645"/>
      <c r="CE175" s="645"/>
      <c r="CF175" s="645"/>
      <c r="CG175" s="645"/>
      <c r="CH175" s="645"/>
      <c r="CI175" s="645"/>
      <c r="CJ175" s="645"/>
      <c r="CK175" s="645"/>
      <c r="CL175" s="645"/>
      <c r="CM175" s="645"/>
      <c r="CN175" s="645"/>
      <c r="CO175" s="645"/>
      <c r="CP175" s="645"/>
      <c r="CQ175" s="645"/>
      <c r="CR175" s="645"/>
      <c r="CS175" s="645"/>
      <c r="CT175" s="645"/>
      <c r="CU175" s="645"/>
      <c r="CV175" s="645"/>
      <c r="CW175" s="645"/>
      <c r="CX175" s="645"/>
      <c r="CY175" s="645"/>
      <c r="CZ175" s="645"/>
      <c r="DA175" s="645"/>
      <c r="DB175" s="645"/>
      <c r="DC175" s="645"/>
      <c r="DD175" s="645"/>
      <c r="DE175" s="645"/>
      <c r="DF175" s="645"/>
      <c r="DG175" s="645"/>
      <c r="DH175" s="645"/>
      <c r="DI175" s="645"/>
      <c r="DJ175" s="645"/>
      <c r="DK175" s="645"/>
      <c r="DL175" s="645"/>
      <c r="DM175" s="645"/>
      <c r="DN175" s="645"/>
      <c r="DO175" s="645"/>
      <c r="DP175" s="645"/>
      <c r="DQ175" s="645"/>
      <c r="DR175" s="645"/>
      <c r="DS175" s="645"/>
      <c r="DT175" s="645"/>
      <c r="DU175" s="645"/>
      <c r="DV175" s="645"/>
      <c r="DW175" s="645"/>
      <c r="DX175" s="645"/>
      <c r="DY175" s="645"/>
      <c r="DZ175" s="645"/>
    </row>
    <row r="176" spans="1:130">
      <c r="A176" s="645"/>
      <c r="B176" s="645"/>
      <c r="C176" s="645"/>
      <c r="D176" s="645"/>
      <c r="E176" s="645"/>
      <c r="F176" s="645"/>
      <c r="G176" s="645"/>
      <c r="H176" s="645"/>
      <c r="I176" s="645"/>
      <c r="J176" s="645"/>
      <c r="K176" s="645"/>
      <c r="L176" s="645"/>
      <c r="M176" s="645"/>
      <c r="N176" s="645"/>
      <c r="O176" s="645"/>
      <c r="P176" s="645"/>
      <c r="Q176" s="645"/>
      <c r="R176" s="645"/>
      <c r="S176" s="645"/>
      <c r="T176" s="645"/>
      <c r="U176" s="645"/>
      <c r="V176" s="645"/>
      <c r="W176" s="645"/>
      <c r="X176" s="645"/>
      <c r="Y176" s="645"/>
      <c r="Z176" s="645"/>
      <c r="AA176" s="645"/>
      <c r="AB176" s="645"/>
      <c r="AC176" s="645"/>
      <c r="AD176" s="645"/>
      <c r="AE176" s="645"/>
      <c r="AF176" s="645"/>
      <c r="AG176" s="645"/>
      <c r="AH176" s="645"/>
      <c r="AI176" s="645"/>
      <c r="AJ176" s="645"/>
      <c r="AK176" s="645"/>
      <c r="AL176" s="645"/>
      <c r="AM176" s="645"/>
      <c r="AN176" s="645"/>
      <c r="AO176" s="645"/>
      <c r="AP176" s="645"/>
      <c r="AQ176" s="645"/>
      <c r="AR176" s="645"/>
      <c r="AS176" s="645"/>
      <c r="AT176" s="645"/>
      <c r="AU176" s="645"/>
      <c r="AV176" s="645"/>
      <c r="AW176" s="645"/>
      <c r="AX176" s="645"/>
      <c r="AY176" s="645"/>
      <c r="AZ176" s="645"/>
      <c r="BA176" s="645"/>
      <c r="BB176" s="645"/>
      <c r="BC176" s="645"/>
      <c r="BD176" s="645"/>
      <c r="BE176" s="645"/>
      <c r="BF176" s="645"/>
      <c r="BG176" s="645"/>
      <c r="BH176" s="645"/>
      <c r="BI176" s="645"/>
      <c r="BJ176" s="645"/>
      <c r="BK176" s="645"/>
      <c r="BL176" s="645"/>
      <c r="BM176" s="645"/>
      <c r="BN176" s="645"/>
      <c r="BO176" s="645"/>
      <c r="BP176" s="645"/>
      <c r="BQ176" s="645"/>
      <c r="BR176" s="645"/>
      <c r="BS176" s="645"/>
      <c r="BT176" s="645"/>
      <c r="BU176" s="645"/>
      <c r="BV176" s="645"/>
      <c r="BW176" s="645"/>
      <c r="BX176" s="645"/>
      <c r="BY176" s="645"/>
      <c r="BZ176" s="645"/>
      <c r="CA176" s="645"/>
      <c r="CB176" s="645"/>
      <c r="CC176" s="645"/>
      <c r="CD176" s="645"/>
      <c r="CE176" s="645"/>
      <c r="CF176" s="645"/>
      <c r="CG176" s="645"/>
      <c r="CH176" s="645"/>
      <c r="CI176" s="645"/>
      <c r="CJ176" s="645"/>
      <c r="CK176" s="645"/>
      <c r="CL176" s="645"/>
      <c r="CM176" s="645"/>
      <c r="CN176" s="645"/>
      <c r="CO176" s="645"/>
      <c r="CP176" s="645"/>
      <c r="CQ176" s="645"/>
      <c r="CR176" s="645"/>
      <c r="CS176" s="645"/>
      <c r="CT176" s="645"/>
      <c r="CU176" s="645"/>
      <c r="CV176" s="645"/>
      <c r="CW176" s="645"/>
      <c r="CX176" s="645"/>
      <c r="CY176" s="645"/>
      <c r="CZ176" s="645"/>
      <c r="DA176" s="645"/>
      <c r="DB176" s="645"/>
      <c r="DC176" s="645"/>
      <c r="DD176" s="645"/>
      <c r="DE176" s="645"/>
      <c r="DF176" s="645"/>
      <c r="DG176" s="645"/>
      <c r="DH176" s="645"/>
      <c r="DI176" s="645"/>
      <c r="DJ176" s="645"/>
      <c r="DK176" s="645"/>
      <c r="DL176" s="645"/>
      <c r="DM176" s="645"/>
      <c r="DN176" s="645"/>
      <c r="DO176" s="645"/>
      <c r="DP176" s="645"/>
      <c r="DQ176" s="645"/>
      <c r="DR176" s="645"/>
      <c r="DS176" s="645"/>
      <c r="DT176" s="645"/>
      <c r="DU176" s="645"/>
      <c r="DV176" s="645"/>
      <c r="DW176" s="645"/>
      <c r="DX176" s="645"/>
      <c r="DY176" s="645"/>
      <c r="DZ176" s="645"/>
    </row>
    <row r="177" spans="1:130">
      <c r="A177" s="645"/>
      <c r="B177" s="645"/>
      <c r="C177" s="645"/>
      <c r="D177" s="645"/>
      <c r="E177" s="645"/>
      <c r="F177" s="645"/>
      <c r="G177" s="645"/>
      <c r="H177" s="645"/>
      <c r="I177" s="645"/>
      <c r="J177" s="645"/>
      <c r="K177" s="645"/>
      <c r="L177" s="645"/>
      <c r="M177" s="645"/>
      <c r="N177" s="645"/>
      <c r="O177" s="645"/>
      <c r="P177" s="645"/>
      <c r="Q177" s="645"/>
      <c r="R177" s="645"/>
      <c r="S177" s="645"/>
      <c r="T177" s="645"/>
      <c r="U177" s="645"/>
      <c r="V177" s="645"/>
      <c r="W177" s="645"/>
      <c r="X177" s="645"/>
      <c r="Y177" s="645"/>
      <c r="Z177" s="645"/>
      <c r="AA177" s="645"/>
      <c r="AB177" s="645"/>
      <c r="AC177" s="645"/>
      <c r="AD177" s="645"/>
      <c r="AE177" s="645"/>
      <c r="AF177" s="645"/>
      <c r="AG177" s="645"/>
      <c r="AH177" s="645"/>
      <c r="AI177" s="645"/>
      <c r="AJ177" s="645"/>
      <c r="AK177" s="645"/>
      <c r="AL177" s="645"/>
      <c r="AM177" s="645"/>
      <c r="AN177" s="645"/>
      <c r="AO177" s="645"/>
      <c r="AP177" s="645"/>
      <c r="AQ177" s="645"/>
      <c r="AR177" s="645"/>
      <c r="AS177" s="645"/>
      <c r="AT177" s="645"/>
      <c r="AU177" s="645"/>
      <c r="AV177" s="645"/>
      <c r="AW177" s="645"/>
      <c r="AX177" s="645"/>
      <c r="AY177" s="645"/>
      <c r="AZ177" s="645"/>
      <c r="BA177" s="645"/>
      <c r="BB177" s="645"/>
      <c r="BC177" s="645"/>
      <c r="BD177" s="645"/>
      <c r="BE177" s="645"/>
      <c r="BF177" s="645"/>
      <c r="BG177" s="645"/>
      <c r="BH177" s="645"/>
      <c r="BI177" s="645"/>
      <c r="BJ177" s="645"/>
      <c r="BK177" s="645"/>
      <c r="BL177" s="645"/>
      <c r="BM177" s="645"/>
      <c r="BN177" s="645"/>
      <c r="BO177" s="645"/>
      <c r="BP177" s="645"/>
      <c r="BQ177" s="645"/>
      <c r="BR177" s="645"/>
      <c r="BS177" s="645"/>
      <c r="BT177" s="645"/>
      <c r="BU177" s="645"/>
      <c r="BV177" s="645"/>
      <c r="BW177" s="645"/>
      <c r="BX177" s="645"/>
      <c r="BY177" s="645"/>
      <c r="BZ177" s="645"/>
      <c r="CA177" s="645"/>
      <c r="CB177" s="645"/>
      <c r="CC177" s="645"/>
      <c r="CD177" s="645"/>
      <c r="CE177" s="645"/>
      <c r="CF177" s="645"/>
      <c r="CG177" s="645"/>
      <c r="CH177" s="645"/>
      <c r="CI177" s="645"/>
      <c r="CJ177" s="645"/>
      <c r="CK177" s="645"/>
      <c r="CL177" s="645"/>
      <c r="CM177" s="645"/>
      <c r="CN177" s="645"/>
      <c r="CO177" s="645"/>
      <c r="CP177" s="645"/>
      <c r="CQ177" s="645"/>
      <c r="CR177" s="645"/>
      <c r="CS177" s="645"/>
      <c r="CT177" s="645"/>
      <c r="CU177" s="645"/>
      <c r="CV177" s="645"/>
      <c r="CW177" s="645"/>
      <c r="CX177" s="645"/>
      <c r="CY177" s="645"/>
      <c r="CZ177" s="645"/>
      <c r="DA177" s="645"/>
      <c r="DB177" s="645"/>
      <c r="DC177" s="645"/>
      <c r="DD177" s="645"/>
      <c r="DE177" s="645"/>
      <c r="DF177" s="645"/>
      <c r="DG177" s="645"/>
      <c r="DH177" s="645"/>
      <c r="DI177" s="645"/>
      <c r="DJ177" s="645"/>
      <c r="DK177" s="645"/>
      <c r="DL177" s="645"/>
      <c r="DM177" s="645"/>
      <c r="DN177" s="645"/>
      <c r="DO177" s="645"/>
      <c r="DP177" s="645"/>
      <c r="DQ177" s="645"/>
      <c r="DR177" s="645"/>
      <c r="DS177" s="645"/>
      <c r="DT177" s="645"/>
      <c r="DU177" s="645"/>
      <c r="DV177" s="645"/>
      <c r="DW177" s="645"/>
      <c r="DX177" s="645"/>
      <c r="DY177" s="645"/>
      <c r="DZ177" s="645"/>
    </row>
    <row r="178" spans="1:130">
      <c r="A178" s="645"/>
      <c r="B178" s="645"/>
      <c r="C178" s="645"/>
      <c r="D178" s="645"/>
      <c r="E178" s="645"/>
      <c r="F178" s="645"/>
      <c r="G178" s="645"/>
      <c r="H178" s="645"/>
      <c r="I178" s="645"/>
      <c r="J178" s="645"/>
      <c r="K178" s="645"/>
      <c r="L178" s="645"/>
      <c r="M178" s="645"/>
      <c r="N178" s="645"/>
      <c r="O178" s="645"/>
      <c r="P178" s="645"/>
      <c r="Q178" s="645"/>
      <c r="R178" s="645"/>
      <c r="S178" s="645"/>
      <c r="T178" s="645"/>
      <c r="U178" s="645"/>
      <c r="V178" s="645"/>
      <c r="W178" s="645"/>
      <c r="X178" s="645"/>
      <c r="Y178" s="645"/>
      <c r="Z178" s="645"/>
      <c r="AA178" s="645"/>
      <c r="AB178" s="645"/>
      <c r="AC178" s="645"/>
      <c r="AD178" s="645"/>
      <c r="AE178" s="645"/>
      <c r="AF178" s="645"/>
      <c r="AG178" s="645"/>
      <c r="AH178" s="645"/>
      <c r="AI178" s="645"/>
      <c r="AJ178" s="645"/>
      <c r="AK178" s="645"/>
      <c r="AL178" s="645"/>
      <c r="AM178" s="645"/>
      <c r="AN178" s="645"/>
      <c r="AO178" s="645"/>
      <c r="AP178" s="645"/>
      <c r="AQ178" s="645"/>
      <c r="AR178" s="645"/>
      <c r="AS178" s="645"/>
      <c r="AT178" s="645"/>
      <c r="AU178" s="645"/>
      <c r="AV178" s="645"/>
      <c r="AW178" s="645"/>
      <c r="AX178" s="645"/>
      <c r="AY178" s="645"/>
      <c r="AZ178" s="645"/>
      <c r="BA178" s="645"/>
      <c r="BB178" s="645"/>
      <c r="BC178" s="645"/>
      <c r="BD178" s="645"/>
      <c r="BE178" s="645"/>
      <c r="BF178" s="645"/>
      <c r="BG178" s="645"/>
      <c r="BH178" s="645"/>
      <c r="BI178" s="645"/>
      <c r="BJ178" s="645"/>
      <c r="BK178" s="645"/>
      <c r="BL178" s="645"/>
      <c r="BM178" s="645"/>
      <c r="BN178" s="645"/>
      <c r="BO178" s="645"/>
      <c r="BP178" s="645"/>
      <c r="BQ178" s="645"/>
      <c r="BR178" s="645"/>
      <c r="BS178" s="645"/>
      <c r="BT178" s="645"/>
      <c r="BU178" s="645"/>
      <c r="BV178" s="645"/>
      <c r="BW178" s="645"/>
      <c r="BX178" s="645"/>
      <c r="BY178" s="645"/>
      <c r="BZ178" s="645"/>
      <c r="CA178" s="645"/>
      <c r="CB178" s="645"/>
      <c r="CC178" s="645"/>
      <c r="CD178" s="645"/>
      <c r="CE178" s="645"/>
      <c r="CF178" s="645"/>
      <c r="CG178" s="645"/>
      <c r="CH178" s="645"/>
      <c r="CI178" s="645"/>
      <c r="CJ178" s="645"/>
      <c r="CK178" s="645"/>
      <c r="CL178" s="645"/>
      <c r="CM178" s="645"/>
      <c r="CN178" s="645"/>
      <c r="CO178" s="645"/>
      <c r="CP178" s="645"/>
      <c r="CQ178" s="645"/>
      <c r="CR178" s="645"/>
      <c r="CS178" s="645"/>
      <c r="CT178" s="645"/>
      <c r="CU178" s="645"/>
      <c r="CV178" s="645"/>
      <c r="CW178" s="645"/>
      <c r="CX178" s="645"/>
      <c r="CY178" s="645"/>
      <c r="CZ178" s="645"/>
      <c r="DA178" s="645"/>
      <c r="DB178" s="645"/>
      <c r="DC178" s="645"/>
      <c r="DD178" s="645"/>
      <c r="DE178" s="645"/>
      <c r="DF178" s="645"/>
      <c r="DG178" s="645"/>
      <c r="DH178" s="645"/>
      <c r="DI178" s="645"/>
      <c r="DJ178" s="645"/>
      <c r="DK178" s="645"/>
      <c r="DL178" s="645"/>
      <c r="DM178" s="645"/>
      <c r="DN178" s="645"/>
      <c r="DO178" s="645"/>
      <c r="DP178" s="645"/>
      <c r="DQ178" s="645"/>
      <c r="DR178" s="645"/>
      <c r="DS178" s="645"/>
      <c r="DT178" s="645"/>
      <c r="DU178" s="645"/>
      <c r="DV178" s="645"/>
      <c r="DW178" s="645"/>
      <c r="DX178" s="645"/>
      <c r="DY178" s="645"/>
      <c r="DZ178" s="645"/>
    </row>
    <row r="179" spans="1:130">
      <c r="A179" s="645"/>
      <c r="B179" s="645"/>
      <c r="C179" s="645"/>
      <c r="D179" s="645"/>
      <c r="E179" s="645"/>
      <c r="F179" s="645"/>
      <c r="G179" s="645"/>
      <c r="H179" s="645"/>
      <c r="I179" s="645"/>
      <c r="J179" s="645"/>
      <c r="K179" s="645"/>
      <c r="L179" s="645"/>
      <c r="M179" s="645"/>
      <c r="N179" s="645"/>
      <c r="O179" s="645"/>
      <c r="P179" s="645"/>
      <c r="Q179" s="645"/>
      <c r="R179" s="645"/>
      <c r="S179" s="645"/>
      <c r="T179" s="645"/>
      <c r="U179" s="645"/>
      <c r="V179" s="645"/>
      <c r="W179" s="645"/>
      <c r="X179" s="645"/>
      <c r="Y179" s="645"/>
      <c r="Z179" s="645"/>
      <c r="AA179" s="645"/>
      <c r="AB179" s="645"/>
      <c r="AC179" s="645"/>
      <c r="AD179" s="645"/>
      <c r="AE179" s="645"/>
      <c r="AF179" s="645"/>
      <c r="AG179" s="645"/>
      <c r="AH179" s="645"/>
      <c r="AI179" s="645"/>
      <c r="AJ179" s="645"/>
      <c r="AK179" s="645"/>
      <c r="AL179" s="645"/>
      <c r="AM179" s="645"/>
      <c r="AN179" s="645"/>
      <c r="AO179" s="645"/>
      <c r="AP179" s="645"/>
      <c r="AQ179" s="645"/>
      <c r="AR179" s="645"/>
      <c r="AS179" s="645"/>
      <c r="AT179" s="645"/>
      <c r="AU179" s="645"/>
      <c r="AV179" s="645"/>
      <c r="AW179" s="645"/>
      <c r="AX179" s="645"/>
      <c r="AY179" s="645"/>
      <c r="AZ179" s="645"/>
      <c r="BA179" s="645"/>
      <c r="BB179" s="645"/>
      <c r="BC179" s="645"/>
      <c r="BD179" s="645"/>
      <c r="BE179" s="645"/>
      <c r="BF179" s="645"/>
      <c r="BG179" s="645"/>
      <c r="BH179" s="645"/>
      <c r="BI179" s="645"/>
      <c r="BJ179" s="645"/>
      <c r="BK179" s="645"/>
      <c r="BL179" s="645"/>
      <c r="BM179" s="645"/>
      <c r="BN179" s="645"/>
      <c r="BO179" s="645"/>
      <c r="BP179" s="645"/>
      <c r="BQ179" s="645"/>
      <c r="BR179" s="645"/>
      <c r="BS179" s="645"/>
      <c r="BT179" s="645"/>
      <c r="BU179" s="645"/>
      <c r="BV179" s="645"/>
      <c r="BW179" s="645"/>
      <c r="BX179" s="645"/>
      <c r="BY179" s="645"/>
      <c r="BZ179" s="645"/>
      <c r="CA179" s="645"/>
      <c r="CB179" s="645"/>
      <c r="CC179" s="645"/>
      <c r="CD179" s="645"/>
      <c r="CE179" s="645"/>
      <c r="CF179" s="645"/>
      <c r="CG179" s="645"/>
      <c r="CH179" s="645"/>
      <c r="CI179" s="645"/>
      <c r="CJ179" s="645"/>
      <c r="CK179" s="645"/>
      <c r="CL179" s="645"/>
      <c r="CM179" s="645"/>
      <c r="CN179" s="645"/>
      <c r="CO179" s="645"/>
      <c r="CP179" s="645"/>
      <c r="CQ179" s="645"/>
      <c r="CR179" s="645"/>
      <c r="CS179" s="645"/>
      <c r="CT179" s="645"/>
      <c r="CU179" s="645"/>
      <c r="CV179" s="645"/>
      <c r="CW179" s="645"/>
      <c r="CX179" s="645"/>
      <c r="CY179" s="645"/>
      <c r="CZ179" s="645"/>
      <c r="DA179" s="645"/>
      <c r="DB179" s="645"/>
      <c r="DC179" s="645"/>
      <c r="DD179" s="645"/>
      <c r="DE179" s="645"/>
      <c r="DF179" s="645"/>
      <c r="DG179" s="645"/>
      <c r="DH179" s="645"/>
      <c r="DI179" s="645"/>
      <c r="DJ179" s="645"/>
      <c r="DK179" s="645"/>
      <c r="DL179" s="645"/>
      <c r="DM179" s="645"/>
      <c r="DN179" s="645"/>
      <c r="DO179" s="645"/>
      <c r="DP179" s="645"/>
      <c r="DQ179" s="645"/>
      <c r="DR179" s="645"/>
      <c r="DS179" s="645"/>
      <c r="DT179" s="645"/>
      <c r="DU179" s="645"/>
      <c r="DV179" s="645"/>
      <c r="DW179" s="645"/>
      <c r="DX179" s="645"/>
      <c r="DY179" s="645"/>
      <c r="DZ179" s="645"/>
    </row>
    <row r="180" spans="1:130">
      <c r="A180" s="645"/>
      <c r="B180" s="645"/>
      <c r="C180" s="645"/>
      <c r="D180" s="645"/>
      <c r="E180" s="645"/>
      <c r="F180" s="645"/>
      <c r="G180" s="645"/>
      <c r="H180" s="645"/>
      <c r="I180" s="645"/>
      <c r="J180" s="645"/>
      <c r="K180" s="645"/>
      <c r="L180" s="645"/>
      <c r="M180" s="645"/>
      <c r="N180" s="645"/>
      <c r="O180" s="645"/>
      <c r="P180" s="645"/>
      <c r="Q180" s="645"/>
      <c r="R180" s="645"/>
      <c r="S180" s="645"/>
      <c r="T180" s="645"/>
      <c r="U180" s="645"/>
      <c r="V180" s="645"/>
      <c r="W180" s="645"/>
      <c r="X180" s="645"/>
      <c r="Y180" s="645"/>
      <c r="Z180" s="645"/>
      <c r="AA180" s="645"/>
      <c r="AB180" s="645"/>
      <c r="AC180" s="645"/>
      <c r="AD180" s="645"/>
      <c r="AE180" s="645"/>
      <c r="AF180" s="645"/>
      <c r="AG180" s="645"/>
      <c r="AH180" s="645"/>
      <c r="AI180" s="645"/>
      <c r="AJ180" s="645"/>
      <c r="AK180" s="645"/>
      <c r="AL180" s="645"/>
      <c r="AM180" s="645"/>
      <c r="AN180" s="645"/>
      <c r="AO180" s="645"/>
      <c r="AP180" s="645"/>
      <c r="AQ180" s="645"/>
      <c r="AR180" s="645"/>
      <c r="AS180" s="645"/>
      <c r="AT180" s="645"/>
      <c r="AU180" s="645"/>
      <c r="AV180" s="645"/>
      <c r="AW180" s="645"/>
      <c r="AX180" s="645"/>
      <c r="AY180" s="645"/>
      <c r="AZ180" s="645"/>
      <c r="BA180" s="645"/>
      <c r="BB180" s="645"/>
      <c r="BC180" s="645"/>
      <c r="BD180" s="645"/>
      <c r="BE180" s="645"/>
      <c r="BF180" s="645"/>
      <c r="BG180" s="645"/>
      <c r="BH180" s="645"/>
      <c r="BI180" s="645"/>
      <c r="BJ180" s="645"/>
      <c r="BK180" s="645"/>
      <c r="BL180" s="645"/>
      <c r="BM180" s="645"/>
      <c r="BN180" s="645"/>
      <c r="BO180" s="645"/>
      <c r="BP180" s="645"/>
      <c r="BQ180" s="645"/>
      <c r="BR180" s="645"/>
      <c r="BS180" s="645"/>
      <c r="BT180" s="645"/>
      <c r="BU180" s="645"/>
      <c r="BV180" s="645"/>
      <c r="BW180" s="645"/>
      <c r="BX180" s="645"/>
      <c r="BY180" s="645"/>
      <c r="BZ180" s="645"/>
      <c r="CA180" s="645"/>
      <c r="CB180" s="645"/>
      <c r="CC180" s="645"/>
      <c r="CD180" s="645"/>
      <c r="CE180" s="645"/>
      <c r="CF180" s="645"/>
      <c r="CG180" s="645"/>
      <c r="CH180" s="645"/>
      <c r="CI180" s="645"/>
      <c r="CJ180" s="645"/>
      <c r="CK180" s="645"/>
      <c r="CL180" s="645"/>
      <c r="CM180" s="645"/>
      <c r="CN180" s="645"/>
      <c r="CO180" s="645"/>
      <c r="CP180" s="645"/>
      <c r="CQ180" s="645"/>
      <c r="CR180" s="645"/>
      <c r="CS180" s="645"/>
      <c r="CT180" s="645"/>
      <c r="CU180" s="645"/>
      <c r="CV180" s="645"/>
      <c r="CW180" s="645"/>
      <c r="CX180" s="645"/>
      <c r="CY180" s="645"/>
      <c r="CZ180" s="645"/>
      <c r="DA180" s="645"/>
      <c r="DB180" s="645"/>
      <c r="DC180" s="645"/>
      <c r="DD180" s="645"/>
      <c r="DE180" s="645"/>
      <c r="DF180" s="645"/>
      <c r="DG180" s="645"/>
      <c r="DH180" s="645"/>
      <c r="DI180" s="645"/>
      <c r="DJ180" s="645"/>
      <c r="DK180" s="645"/>
      <c r="DL180" s="645"/>
      <c r="DM180" s="645"/>
      <c r="DN180" s="645"/>
      <c r="DO180" s="645"/>
      <c r="DP180" s="645"/>
      <c r="DQ180" s="645"/>
      <c r="DR180" s="645"/>
      <c r="DS180" s="645"/>
      <c r="DT180" s="645"/>
      <c r="DU180" s="645"/>
      <c r="DV180" s="645"/>
      <c r="DW180" s="645"/>
      <c r="DX180" s="645"/>
      <c r="DY180" s="645"/>
      <c r="DZ180" s="645"/>
    </row>
    <row r="181" spans="1:130">
      <c r="A181" s="645"/>
      <c r="B181" s="645"/>
      <c r="C181" s="645"/>
      <c r="D181" s="645"/>
      <c r="E181" s="645"/>
      <c r="F181" s="645"/>
      <c r="G181" s="645"/>
      <c r="H181" s="645"/>
      <c r="I181" s="645"/>
      <c r="J181" s="645"/>
      <c r="K181" s="645"/>
      <c r="L181" s="645"/>
      <c r="M181" s="645"/>
      <c r="N181" s="645"/>
      <c r="O181" s="645"/>
      <c r="P181" s="645"/>
      <c r="Q181" s="645"/>
      <c r="R181" s="645"/>
      <c r="S181" s="645"/>
      <c r="T181" s="645"/>
      <c r="U181" s="645"/>
      <c r="V181" s="645"/>
      <c r="W181" s="645"/>
      <c r="X181" s="645"/>
      <c r="Y181" s="645"/>
      <c r="Z181" s="645"/>
      <c r="AA181" s="645"/>
      <c r="AB181" s="645"/>
      <c r="AC181" s="645"/>
      <c r="AD181" s="645"/>
      <c r="AE181" s="645"/>
      <c r="AF181" s="645"/>
      <c r="AG181" s="645"/>
      <c r="AH181" s="645"/>
      <c r="AI181" s="645"/>
      <c r="AJ181" s="645"/>
      <c r="AK181" s="645"/>
      <c r="AL181" s="645"/>
      <c r="AM181" s="645"/>
      <c r="AN181" s="645"/>
      <c r="AO181" s="645"/>
      <c r="AP181" s="645"/>
      <c r="AQ181" s="645"/>
      <c r="AR181" s="645"/>
      <c r="AS181" s="645"/>
      <c r="AT181" s="645"/>
      <c r="AU181" s="645"/>
      <c r="AV181" s="645"/>
      <c r="AW181" s="645"/>
      <c r="AX181" s="645"/>
      <c r="AY181" s="645"/>
      <c r="AZ181" s="645"/>
      <c r="BA181" s="645"/>
      <c r="BB181" s="645"/>
      <c r="BC181" s="645"/>
      <c r="BD181" s="645"/>
      <c r="BE181" s="645"/>
      <c r="BF181" s="645"/>
      <c r="BG181" s="645"/>
      <c r="BH181" s="645"/>
      <c r="BI181" s="645"/>
      <c r="BJ181" s="645"/>
      <c r="BK181" s="645"/>
      <c r="BL181" s="645"/>
      <c r="BM181" s="645"/>
      <c r="BN181" s="645"/>
      <c r="BO181" s="645"/>
      <c r="BP181" s="645"/>
      <c r="BQ181" s="645"/>
      <c r="BR181" s="645"/>
      <c r="BS181" s="645"/>
      <c r="BT181" s="645"/>
      <c r="BU181" s="645"/>
      <c r="BV181" s="645"/>
      <c r="BW181" s="645"/>
      <c r="BX181" s="645"/>
      <c r="BY181" s="645"/>
      <c r="BZ181" s="645"/>
      <c r="CA181" s="645"/>
      <c r="CB181" s="645"/>
      <c r="CC181" s="645"/>
      <c r="CD181" s="645"/>
      <c r="CE181" s="645"/>
      <c r="CF181" s="645"/>
      <c r="CG181" s="645"/>
      <c r="CH181" s="645"/>
      <c r="CI181" s="645"/>
      <c r="CJ181" s="645"/>
      <c r="CK181" s="645"/>
      <c r="CL181" s="645"/>
      <c r="CM181" s="645"/>
      <c r="CN181" s="645"/>
      <c r="CO181" s="645"/>
      <c r="CP181" s="645"/>
      <c r="CQ181" s="645"/>
      <c r="CR181" s="645"/>
      <c r="CS181" s="645"/>
      <c r="CT181" s="645"/>
      <c r="CU181" s="645"/>
      <c r="CV181" s="645"/>
      <c r="CW181" s="645"/>
      <c r="CX181" s="645"/>
      <c r="CY181" s="645"/>
      <c r="CZ181" s="645"/>
      <c r="DA181" s="645"/>
      <c r="DB181" s="645"/>
      <c r="DC181" s="645"/>
      <c r="DD181" s="645"/>
      <c r="DE181" s="645"/>
      <c r="DF181" s="645"/>
      <c r="DG181" s="645"/>
      <c r="DH181" s="645"/>
      <c r="DI181" s="645"/>
      <c r="DJ181" s="645"/>
      <c r="DK181" s="645"/>
      <c r="DL181" s="645"/>
      <c r="DM181" s="645"/>
      <c r="DN181" s="645"/>
      <c r="DO181" s="645"/>
      <c r="DP181" s="645"/>
      <c r="DQ181" s="645"/>
      <c r="DR181" s="645"/>
      <c r="DS181" s="645"/>
      <c r="DT181" s="645"/>
      <c r="DU181" s="645"/>
      <c r="DV181" s="645"/>
      <c r="DW181" s="645"/>
      <c r="DX181" s="645"/>
      <c r="DY181" s="645"/>
      <c r="DZ181" s="645"/>
    </row>
    <row r="182" spans="1:130">
      <c r="A182" s="645"/>
      <c r="B182" s="645"/>
      <c r="C182" s="645"/>
      <c r="D182" s="645"/>
      <c r="E182" s="645"/>
      <c r="F182" s="645"/>
      <c r="G182" s="645"/>
      <c r="H182" s="645"/>
      <c r="I182" s="645"/>
      <c r="J182" s="645"/>
      <c r="K182" s="645"/>
      <c r="L182" s="645"/>
      <c r="M182" s="645"/>
      <c r="N182" s="645"/>
      <c r="O182" s="645"/>
      <c r="P182" s="645"/>
      <c r="Q182" s="645"/>
      <c r="R182" s="645"/>
      <c r="S182" s="645"/>
      <c r="T182" s="645"/>
      <c r="U182" s="645"/>
      <c r="V182" s="645"/>
      <c r="W182" s="645"/>
      <c r="X182" s="645"/>
      <c r="Y182" s="645"/>
      <c r="Z182" s="645"/>
      <c r="AA182" s="645"/>
      <c r="AB182" s="645"/>
      <c r="AC182" s="645"/>
      <c r="AD182" s="645"/>
      <c r="AE182" s="645"/>
      <c r="AF182" s="645"/>
      <c r="AG182" s="645"/>
      <c r="AH182" s="645"/>
      <c r="AI182" s="645"/>
      <c r="AJ182" s="645"/>
      <c r="AK182" s="645"/>
      <c r="AL182" s="645"/>
      <c r="AM182" s="645"/>
      <c r="AN182" s="645"/>
      <c r="AO182" s="645"/>
      <c r="AP182" s="645"/>
      <c r="AQ182" s="645"/>
      <c r="AR182" s="645"/>
      <c r="AS182" s="645"/>
      <c r="AT182" s="645"/>
      <c r="AU182" s="645"/>
      <c r="AV182" s="645"/>
      <c r="AW182" s="645"/>
      <c r="AX182" s="645"/>
      <c r="AY182" s="645"/>
      <c r="AZ182" s="645"/>
      <c r="BA182" s="645"/>
      <c r="BB182" s="645"/>
      <c r="BC182" s="645"/>
      <c r="BD182" s="645"/>
      <c r="BE182" s="645"/>
      <c r="BF182" s="645"/>
      <c r="BG182" s="645"/>
      <c r="BH182" s="645"/>
      <c r="BI182" s="645"/>
      <c r="BJ182" s="645"/>
      <c r="BK182" s="645"/>
      <c r="BL182" s="645"/>
      <c r="BM182" s="645"/>
      <c r="BN182" s="645"/>
      <c r="BO182" s="645"/>
      <c r="BP182" s="645"/>
      <c r="BQ182" s="645"/>
      <c r="BR182" s="645"/>
      <c r="BS182" s="645"/>
      <c r="BT182" s="645"/>
      <c r="BU182" s="645"/>
      <c r="BV182" s="645"/>
      <c r="BW182" s="645"/>
      <c r="BX182" s="645"/>
      <c r="BY182" s="645"/>
      <c r="BZ182" s="645"/>
      <c r="CA182" s="645"/>
      <c r="CB182" s="645"/>
      <c r="CC182" s="645"/>
      <c r="CD182" s="645"/>
      <c r="CE182" s="645"/>
      <c r="CF182" s="645"/>
      <c r="CG182" s="645"/>
      <c r="CH182" s="645"/>
      <c r="CI182" s="645"/>
      <c r="CJ182" s="645"/>
      <c r="CK182" s="645"/>
      <c r="CL182" s="645"/>
      <c r="CM182" s="645"/>
      <c r="CN182" s="645"/>
      <c r="CO182" s="645"/>
      <c r="CP182" s="645"/>
      <c r="CQ182" s="645"/>
      <c r="CR182" s="645"/>
      <c r="CS182" s="645"/>
      <c r="CT182" s="645"/>
      <c r="CU182" s="645"/>
      <c r="CV182" s="645"/>
      <c r="CW182" s="645"/>
      <c r="CX182" s="645"/>
      <c r="CY182" s="645"/>
      <c r="CZ182" s="645"/>
      <c r="DA182" s="645"/>
      <c r="DB182" s="645"/>
      <c r="DC182" s="645"/>
      <c r="DD182" s="645"/>
      <c r="DE182" s="645"/>
      <c r="DF182" s="645"/>
      <c r="DG182" s="645"/>
      <c r="DH182" s="645"/>
      <c r="DI182" s="645"/>
      <c r="DJ182" s="645"/>
      <c r="DK182" s="645"/>
      <c r="DL182" s="645"/>
      <c r="DM182" s="645"/>
      <c r="DN182" s="645"/>
      <c r="DO182" s="645"/>
      <c r="DP182" s="645"/>
      <c r="DQ182" s="645"/>
      <c r="DR182" s="645"/>
      <c r="DS182" s="645"/>
      <c r="DT182" s="645"/>
      <c r="DU182" s="645"/>
      <c r="DV182" s="645"/>
      <c r="DW182" s="645"/>
      <c r="DX182" s="645"/>
      <c r="DY182" s="645"/>
      <c r="DZ182" s="645"/>
    </row>
    <row r="183" spans="1:130">
      <c r="A183" s="645"/>
      <c r="B183" s="645"/>
      <c r="C183" s="645"/>
      <c r="D183" s="645"/>
      <c r="E183" s="645"/>
      <c r="F183" s="645"/>
      <c r="G183" s="645"/>
      <c r="H183" s="645"/>
      <c r="I183" s="645"/>
      <c r="J183" s="645"/>
      <c r="K183" s="645"/>
      <c r="L183" s="645"/>
      <c r="M183" s="645"/>
      <c r="N183" s="645"/>
      <c r="O183" s="645"/>
      <c r="P183" s="645"/>
      <c r="Q183" s="645"/>
      <c r="R183" s="645"/>
      <c r="S183" s="645"/>
      <c r="T183" s="645"/>
      <c r="U183" s="645"/>
      <c r="V183" s="645"/>
      <c r="W183" s="645"/>
      <c r="X183" s="645"/>
      <c r="Y183" s="645"/>
      <c r="Z183" s="645"/>
      <c r="AA183" s="645"/>
      <c r="AB183" s="645"/>
      <c r="AC183" s="645"/>
      <c r="AD183" s="645"/>
      <c r="AE183" s="645"/>
      <c r="AF183" s="645"/>
      <c r="AG183" s="645"/>
      <c r="AH183" s="645"/>
      <c r="AI183" s="645"/>
      <c r="AJ183" s="645"/>
      <c r="AK183" s="645"/>
      <c r="AL183" s="645"/>
      <c r="AM183" s="645"/>
      <c r="AN183" s="645"/>
      <c r="AO183" s="645"/>
      <c r="AP183" s="645"/>
      <c r="AQ183" s="645"/>
      <c r="AR183" s="645"/>
      <c r="AS183" s="645"/>
      <c r="AT183" s="645"/>
      <c r="AU183" s="645"/>
      <c r="AV183" s="645"/>
      <c r="AW183" s="645"/>
      <c r="AX183" s="645"/>
      <c r="AY183" s="645"/>
      <c r="AZ183" s="645"/>
      <c r="BA183" s="645"/>
      <c r="BB183" s="645"/>
      <c r="BC183" s="645"/>
      <c r="BD183" s="645"/>
      <c r="BE183" s="645"/>
      <c r="BF183" s="645"/>
      <c r="BG183" s="645"/>
      <c r="BH183" s="645"/>
      <c r="BI183" s="645"/>
      <c r="BJ183" s="645"/>
      <c r="BK183" s="645"/>
      <c r="BL183" s="645"/>
      <c r="BM183" s="645"/>
      <c r="BN183" s="645"/>
      <c r="BO183" s="645"/>
      <c r="BP183" s="645"/>
      <c r="BQ183" s="645"/>
      <c r="BR183" s="645"/>
      <c r="BS183" s="645"/>
      <c r="BT183" s="645"/>
      <c r="BU183" s="645"/>
      <c r="BV183" s="645"/>
      <c r="BW183" s="645"/>
      <c r="BX183" s="645"/>
      <c r="BY183" s="645"/>
      <c r="BZ183" s="645"/>
      <c r="CA183" s="645"/>
      <c r="CB183" s="645"/>
      <c r="CC183" s="645"/>
      <c r="CD183" s="645"/>
      <c r="CE183" s="645"/>
      <c r="CF183" s="645"/>
      <c r="CG183" s="645"/>
      <c r="CH183" s="645"/>
      <c r="CI183" s="645"/>
      <c r="CJ183" s="645"/>
      <c r="CK183" s="645"/>
      <c r="CL183" s="645"/>
      <c r="CM183" s="645"/>
      <c r="CN183" s="645"/>
      <c r="CO183" s="645"/>
      <c r="CP183" s="645"/>
      <c r="CQ183" s="645"/>
      <c r="CR183" s="645"/>
      <c r="CS183" s="645"/>
      <c r="CT183" s="645"/>
      <c r="CU183" s="645"/>
      <c r="CV183" s="645"/>
      <c r="CW183" s="645"/>
      <c r="CX183" s="645"/>
      <c r="CY183" s="645"/>
      <c r="CZ183" s="645"/>
      <c r="DA183" s="645"/>
      <c r="DB183" s="645"/>
      <c r="DC183" s="645"/>
      <c r="DD183" s="645"/>
      <c r="DE183" s="645"/>
      <c r="DF183" s="645"/>
      <c r="DG183" s="645"/>
      <c r="DH183" s="645"/>
      <c r="DI183" s="645"/>
      <c r="DJ183" s="645"/>
      <c r="DK183" s="645"/>
      <c r="DL183" s="645"/>
      <c r="DM183" s="645"/>
      <c r="DN183" s="645"/>
      <c r="DO183" s="645"/>
      <c r="DP183" s="645"/>
      <c r="DQ183" s="645"/>
      <c r="DR183" s="645"/>
      <c r="DS183" s="645"/>
      <c r="DT183" s="645"/>
      <c r="DU183" s="645"/>
      <c r="DV183" s="645"/>
      <c r="DW183" s="645"/>
      <c r="DX183" s="645"/>
      <c r="DY183" s="645"/>
      <c r="DZ183" s="645"/>
    </row>
    <row r="184" spans="1:130">
      <c r="A184" s="645"/>
      <c r="B184" s="645"/>
      <c r="C184" s="645"/>
      <c r="D184" s="645"/>
      <c r="E184" s="645"/>
      <c r="F184" s="645"/>
      <c r="G184" s="645"/>
      <c r="H184" s="645"/>
      <c r="I184" s="645"/>
      <c r="J184" s="645"/>
      <c r="K184" s="645"/>
      <c r="L184" s="645"/>
      <c r="M184" s="645"/>
      <c r="N184" s="645"/>
      <c r="O184" s="645"/>
      <c r="P184" s="645"/>
      <c r="Q184" s="645"/>
      <c r="R184" s="645"/>
      <c r="S184" s="645"/>
      <c r="T184" s="645"/>
      <c r="U184" s="645"/>
      <c r="V184" s="645"/>
      <c r="W184" s="645"/>
      <c r="X184" s="645"/>
      <c r="Y184" s="645"/>
      <c r="Z184" s="645"/>
      <c r="AA184" s="645"/>
      <c r="AB184" s="645"/>
      <c r="AC184" s="645"/>
      <c r="AD184" s="645"/>
      <c r="AE184" s="645"/>
      <c r="AF184" s="645"/>
      <c r="AG184" s="645"/>
      <c r="AH184" s="645"/>
      <c r="AI184" s="645"/>
      <c r="AJ184" s="645"/>
      <c r="AK184" s="645"/>
      <c r="AL184" s="645"/>
      <c r="AM184" s="645"/>
      <c r="AN184" s="645"/>
      <c r="AO184" s="645"/>
      <c r="AP184" s="645"/>
      <c r="AQ184" s="645"/>
      <c r="AR184" s="645"/>
      <c r="AS184" s="645"/>
      <c r="AT184" s="645"/>
      <c r="AU184" s="645"/>
      <c r="AV184" s="645"/>
      <c r="AW184" s="645"/>
      <c r="AX184" s="645"/>
      <c r="AY184" s="645"/>
      <c r="AZ184" s="645"/>
      <c r="BA184" s="645"/>
      <c r="BB184" s="645"/>
      <c r="BC184" s="645"/>
      <c r="BD184" s="645"/>
      <c r="BE184" s="645"/>
      <c r="BF184" s="645"/>
      <c r="BG184" s="645"/>
      <c r="BH184" s="645"/>
      <c r="BI184" s="645"/>
      <c r="BJ184" s="645"/>
      <c r="BK184" s="645"/>
      <c r="BL184" s="645"/>
      <c r="BM184" s="645"/>
      <c r="BN184" s="645"/>
      <c r="BO184" s="645"/>
      <c r="BP184" s="645"/>
      <c r="BQ184" s="645"/>
      <c r="BR184" s="645"/>
      <c r="BS184" s="645"/>
      <c r="BT184" s="645"/>
      <c r="BU184" s="645"/>
      <c r="BV184" s="645"/>
      <c r="BW184" s="645"/>
      <c r="BX184" s="645"/>
      <c r="BY184" s="645"/>
      <c r="BZ184" s="645"/>
      <c r="CA184" s="645"/>
      <c r="CB184" s="645"/>
      <c r="CC184" s="645"/>
      <c r="CD184" s="645"/>
      <c r="CE184" s="645"/>
      <c r="CF184" s="645"/>
      <c r="CG184" s="645"/>
      <c r="CH184" s="645"/>
      <c r="CI184" s="645"/>
      <c r="CJ184" s="645"/>
      <c r="CK184" s="645"/>
      <c r="CL184" s="645"/>
      <c r="CM184" s="645"/>
      <c r="CN184" s="645"/>
      <c r="CO184" s="645"/>
      <c r="CP184" s="645"/>
      <c r="CQ184" s="645"/>
      <c r="CR184" s="645"/>
      <c r="CS184" s="645"/>
      <c r="CT184" s="645"/>
      <c r="CU184" s="645"/>
      <c r="CV184" s="645"/>
      <c r="CW184" s="645"/>
      <c r="CX184" s="645"/>
      <c r="CY184" s="645"/>
      <c r="CZ184" s="645"/>
      <c r="DA184" s="645"/>
      <c r="DB184" s="645"/>
      <c r="DC184" s="645"/>
      <c r="DD184" s="645"/>
      <c r="DE184" s="645"/>
      <c r="DF184" s="645"/>
      <c r="DG184" s="645"/>
      <c r="DH184" s="645"/>
      <c r="DI184" s="645"/>
      <c r="DJ184" s="645"/>
      <c r="DK184" s="645"/>
      <c r="DL184" s="645"/>
      <c r="DM184" s="645"/>
      <c r="DN184" s="645"/>
      <c r="DO184" s="645"/>
      <c r="DP184" s="645"/>
      <c r="DQ184" s="645"/>
      <c r="DR184" s="645"/>
      <c r="DS184" s="645"/>
      <c r="DT184" s="645"/>
      <c r="DU184" s="645"/>
      <c r="DV184" s="645"/>
      <c r="DW184" s="645"/>
      <c r="DX184" s="645"/>
      <c r="DY184" s="645"/>
      <c r="DZ184" s="645"/>
    </row>
    <row r="185" spans="1:130">
      <c r="A185" s="645"/>
      <c r="B185" s="645"/>
      <c r="C185" s="645"/>
      <c r="D185" s="645"/>
      <c r="E185" s="645"/>
      <c r="F185" s="645"/>
      <c r="G185" s="645"/>
      <c r="H185" s="645"/>
      <c r="I185" s="645"/>
      <c r="J185" s="645"/>
      <c r="K185" s="645"/>
      <c r="L185" s="645"/>
      <c r="M185" s="645"/>
      <c r="N185" s="645"/>
      <c r="O185" s="645"/>
      <c r="P185" s="645"/>
      <c r="Q185" s="645"/>
      <c r="R185" s="645"/>
      <c r="S185" s="645"/>
      <c r="T185" s="645"/>
      <c r="U185" s="645"/>
      <c r="V185" s="645"/>
      <c r="W185" s="645"/>
      <c r="X185" s="645"/>
      <c r="Y185" s="645"/>
      <c r="Z185" s="645"/>
      <c r="AA185" s="645"/>
      <c r="AB185" s="645"/>
      <c r="AC185" s="645"/>
      <c r="AD185" s="645"/>
      <c r="AE185" s="645"/>
      <c r="AF185" s="645"/>
      <c r="AG185" s="645"/>
      <c r="AH185" s="645"/>
      <c r="AI185" s="645"/>
      <c r="AJ185" s="645"/>
      <c r="AK185" s="645"/>
      <c r="AL185" s="645"/>
      <c r="AM185" s="645"/>
      <c r="AN185" s="645"/>
      <c r="AO185" s="645"/>
      <c r="AP185" s="645"/>
      <c r="AQ185" s="645"/>
      <c r="AR185" s="645"/>
      <c r="AS185" s="645"/>
      <c r="AT185" s="645"/>
      <c r="AU185" s="645"/>
      <c r="AV185" s="645"/>
      <c r="AW185" s="645"/>
      <c r="AX185" s="645"/>
      <c r="AY185" s="645"/>
      <c r="AZ185" s="645"/>
      <c r="BA185" s="645"/>
      <c r="BB185" s="645"/>
      <c r="BC185" s="645"/>
      <c r="BD185" s="645"/>
      <c r="BE185" s="645"/>
      <c r="BF185" s="645"/>
      <c r="BG185" s="645"/>
      <c r="BH185" s="645"/>
      <c r="BI185" s="645"/>
      <c r="BJ185" s="645"/>
      <c r="BK185" s="645"/>
      <c r="BL185" s="645"/>
      <c r="BM185" s="645"/>
      <c r="BN185" s="645"/>
      <c r="BO185" s="645"/>
      <c r="BP185" s="645"/>
      <c r="BQ185" s="645"/>
      <c r="BR185" s="645"/>
      <c r="BS185" s="645"/>
      <c r="BT185" s="645"/>
      <c r="BU185" s="645"/>
      <c r="BV185" s="645"/>
      <c r="BW185" s="645"/>
      <c r="BX185" s="645"/>
      <c r="BY185" s="645"/>
      <c r="BZ185" s="645"/>
      <c r="CA185" s="645"/>
      <c r="CB185" s="645"/>
      <c r="CC185" s="645"/>
      <c r="CD185" s="645"/>
      <c r="CE185" s="645"/>
      <c r="CF185" s="645"/>
      <c r="CG185" s="645"/>
      <c r="CH185" s="645"/>
      <c r="CI185" s="645"/>
      <c r="CJ185" s="645"/>
      <c r="CK185" s="645"/>
      <c r="CL185" s="645"/>
      <c r="CM185" s="645"/>
      <c r="CN185" s="645"/>
      <c r="CO185" s="645"/>
      <c r="CP185" s="645"/>
      <c r="CQ185" s="645"/>
      <c r="CR185" s="645"/>
      <c r="CS185" s="645"/>
      <c r="CT185" s="645"/>
      <c r="CU185" s="645"/>
      <c r="CV185" s="645"/>
      <c r="CW185" s="645"/>
      <c r="CX185" s="645"/>
      <c r="CY185" s="645"/>
      <c r="CZ185" s="645"/>
      <c r="DA185" s="645"/>
      <c r="DB185" s="645"/>
      <c r="DC185" s="645"/>
      <c r="DD185" s="645"/>
      <c r="DE185" s="645"/>
      <c r="DF185" s="645"/>
      <c r="DG185" s="645"/>
      <c r="DH185" s="645"/>
      <c r="DI185" s="645"/>
      <c r="DJ185" s="645"/>
      <c r="DK185" s="645"/>
      <c r="DL185" s="645"/>
      <c r="DM185" s="645"/>
      <c r="DN185" s="645"/>
      <c r="DO185" s="645"/>
      <c r="DP185" s="645"/>
      <c r="DQ185" s="645"/>
      <c r="DR185" s="645"/>
      <c r="DS185" s="645"/>
      <c r="DT185" s="645"/>
      <c r="DU185" s="645"/>
      <c r="DV185" s="645"/>
      <c r="DW185" s="645"/>
      <c r="DX185" s="645"/>
      <c r="DY185" s="645"/>
      <c r="DZ185" s="645"/>
    </row>
    <row r="186" spans="1:130">
      <c r="A186" s="645"/>
      <c r="B186" s="645"/>
      <c r="C186" s="645"/>
      <c r="D186" s="645"/>
      <c r="E186" s="645"/>
      <c r="F186" s="645"/>
      <c r="G186" s="645"/>
      <c r="H186" s="645"/>
      <c r="I186" s="645"/>
      <c r="J186" s="645"/>
      <c r="K186" s="645"/>
      <c r="L186" s="645"/>
      <c r="M186" s="645"/>
      <c r="N186" s="645"/>
      <c r="O186" s="645"/>
      <c r="P186" s="645"/>
      <c r="Q186" s="645"/>
      <c r="R186" s="645"/>
      <c r="S186" s="645"/>
      <c r="T186" s="645"/>
      <c r="U186" s="645"/>
      <c r="V186" s="645"/>
      <c r="W186" s="645"/>
      <c r="X186" s="645"/>
      <c r="Y186" s="645"/>
      <c r="Z186" s="645"/>
      <c r="AA186" s="645"/>
      <c r="AB186" s="645"/>
      <c r="AC186" s="645"/>
      <c r="AD186" s="645"/>
      <c r="AE186" s="645"/>
      <c r="AF186" s="645"/>
      <c r="AG186" s="645"/>
      <c r="AH186" s="645"/>
      <c r="AI186" s="645"/>
      <c r="AJ186" s="645"/>
      <c r="AK186" s="645"/>
      <c r="AL186" s="645"/>
      <c r="AM186" s="645"/>
      <c r="AN186" s="645"/>
      <c r="AO186" s="645"/>
      <c r="AP186" s="645"/>
      <c r="AQ186" s="645"/>
      <c r="AR186" s="645"/>
      <c r="AS186" s="645"/>
      <c r="AT186" s="645"/>
      <c r="AU186" s="645"/>
      <c r="AV186" s="645"/>
      <c r="AW186" s="645"/>
      <c r="AX186" s="645"/>
      <c r="AY186" s="645"/>
      <c r="AZ186" s="645"/>
      <c r="BA186" s="645"/>
      <c r="BB186" s="645"/>
      <c r="BC186" s="645"/>
      <c r="BD186" s="645"/>
      <c r="BE186" s="645"/>
      <c r="BF186" s="645"/>
      <c r="BG186" s="645"/>
      <c r="BH186" s="645"/>
      <c r="BI186" s="645"/>
      <c r="BJ186" s="645"/>
      <c r="BK186" s="645"/>
      <c r="BL186" s="645"/>
      <c r="BM186" s="645"/>
      <c r="BN186" s="645"/>
      <c r="BO186" s="645"/>
      <c r="BP186" s="645"/>
      <c r="BQ186" s="645"/>
      <c r="BR186" s="645"/>
      <c r="BS186" s="645"/>
      <c r="BT186" s="645"/>
      <c r="BU186" s="645"/>
      <c r="BV186" s="645"/>
      <c r="BW186" s="645"/>
      <c r="BX186" s="645"/>
      <c r="BY186" s="645"/>
      <c r="BZ186" s="645"/>
      <c r="CA186" s="645"/>
      <c r="CB186" s="645"/>
      <c r="CC186" s="645"/>
      <c r="CD186" s="645"/>
      <c r="CE186" s="645"/>
      <c r="CF186" s="645"/>
      <c r="CG186" s="645"/>
      <c r="CH186" s="645"/>
      <c r="CI186" s="645"/>
      <c r="CJ186" s="645"/>
      <c r="CK186" s="645"/>
      <c r="CL186" s="645"/>
      <c r="CM186" s="645"/>
      <c r="CN186" s="645"/>
      <c r="CO186" s="645"/>
      <c r="CP186" s="645"/>
      <c r="CQ186" s="645"/>
      <c r="CR186" s="645"/>
      <c r="CS186" s="645"/>
      <c r="CT186" s="645"/>
      <c r="CU186" s="645"/>
      <c r="CV186" s="645"/>
      <c r="CW186" s="645"/>
      <c r="CX186" s="645"/>
      <c r="CY186" s="645"/>
      <c r="CZ186" s="645"/>
      <c r="DA186" s="645"/>
      <c r="DB186" s="645"/>
      <c r="DC186" s="645"/>
      <c r="DD186" s="645"/>
      <c r="DE186" s="645"/>
      <c r="DF186" s="645"/>
      <c r="DG186" s="645"/>
      <c r="DH186" s="645"/>
      <c r="DI186" s="645"/>
      <c r="DJ186" s="645"/>
      <c r="DK186" s="645"/>
      <c r="DL186" s="645"/>
      <c r="DM186" s="645"/>
      <c r="DN186" s="645"/>
      <c r="DO186" s="645"/>
      <c r="DP186" s="645"/>
      <c r="DQ186" s="645"/>
      <c r="DR186" s="645"/>
      <c r="DS186" s="645"/>
      <c r="DT186" s="645"/>
      <c r="DU186" s="645"/>
      <c r="DV186" s="645"/>
      <c r="DW186" s="645"/>
      <c r="DX186" s="645"/>
      <c r="DY186" s="645"/>
      <c r="DZ186" s="645"/>
    </row>
    <row r="187" spans="1:130">
      <c r="A187" s="645"/>
      <c r="B187" s="645"/>
      <c r="C187" s="645"/>
      <c r="D187" s="645"/>
      <c r="E187" s="645"/>
      <c r="F187" s="645"/>
      <c r="G187" s="645"/>
      <c r="H187" s="645"/>
      <c r="I187" s="645"/>
      <c r="J187" s="645"/>
      <c r="K187" s="645"/>
      <c r="L187" s="645"/>
      <c r="M187" s="645"/>
      <c r="N187" s="645"/>
      <c r="O187" s="645"/>
      <c r="P187" s="645"/>
      <c r="Q187" s="645"/>
      <c r="R187" s="645"/>
      <c r="S187" s="645"/>
      <c r="T187" s="645"/>
      <c r="U187" s="645"/>
      <c r="V187" s="645"/>
      <c r="W187" s="645"/>
      <c r="X187" s="645"/>
      <c r="Y187" s="645"/>
      <c r="Z187" s="645"/>
      <c r="AA187" s="645"/>
      <c r="AB187" s="645"/>
      <c r="AC187" s="645"/>
      <c r="AD187" s="645"/>
      <c r="AE187" s="645"/>
      <c r="AF187" s="645"/>
      <c r="AG187" s="645"/>
      <c r="AH187" s="645"/>
      <c r="AI187" s="645"/>
      <c r="AJ187" s="645"/>
      <c r="AK187" s="645"/>
      <c r="AL187" s="645"/>
      <c r="AM187" s="645"/>
      <c r="AN187" s="645"/>
      <c r="AO187" s="645"/>
      <c r="AP187" s="645"/>
      <c r="AQ187" s="645"/>
      <c r="AR187" s="645"/>
      <c r="AS187" s="645"/>
      <c r="AT187" s="645"/>
      <c r="AU187" s="645"/>
      <c r="AV187" s="645"/>
      <c r="AW187" s="645"/>
      <c r="AX187" s="645"/>
      <c r="AY187" s="645"/>
      <c r="AZ187" s="645"/>
      <c r="BA187" s="645"/>
      <c r="BB187" s="645"/>
      <c r="BC187" s="645"/>
      <c r="BD187" s="645"/>
      <c r="BE187" s="645"/>
      <c r="BF187" s="645"/>
      <c r="BG187" s="645"/>
      <c r="BH187" s="645"/>
      <c r="BI187" s="645"/>
      <c r="BJ187" s="645"/>
      <c r="BK187" s="645"/>
      <c r="BL187" s="645"/>
      <c r="BM187" s="645"/>
      <c r="BN187" s="645"/>
      <c r="BO187" s="645"/>
      <c r="BP187" s="645"/>
      <c r="BQ187" s="645"/>
      <c r="BR187" s="645"/>
      <c r="BS187" s="645"/>
      <c r="BT187" s="645"/>
      <c r="BU187" s="645"/>
      <c r="BV187" s="645"/>
      <c r="BW187" s="645"/>
      <c r="BX187" s="645"/>
      <c r="BY187" s="645"/>
      <c r="BZ187" s="645"/>
      <c r="CA187" s="645"/>
      <c r="CB187" s="645"/>
      <c r="CC187" s="645"/>
      <c r="CD187" s="645"/>
      <c r="CE187" s="645"/>
      <c r="CF187" s="645"/>
      <c r="CG187" s="645"/>
      <c r="CH187" s="645"/>
      <c r="CI187" s="645"/>
      <c r="CJ187" s="645"/>
      <c r="CK187" s="645"/>
      <c r="CL187" s="645"/>
      <c r="CM187" s="645"/>
      <c r="CN187" s="645"/>
      <c r="CO187" s="645"/>
      <c r="CP187" s="645"/>
      <c r="CQ187" s="645"/>
      <c r="CR187" s="645"/>
      <c r="CS187" s="645"/>
      <c r="CT187" s="645"/>
      <c r="CU187" s="645"/>
      <c r="CV187" s="645"/>
      <c r="CW187" s="645"/>
      <c r="CX187" s="645"/>
      <c r="CY187" s="645"/>
      <c r="CZ187" s="645"/>
      <c r="DA187" s="645"/>
      <c r="DB187" s="645"/>
      <c r="DC187" s="645"/>
      <c r="DD187" s="645"/>
      <c r="DE187" s="645"/>
      <c r="DF187" s="645"/>
      <c r="DG187" s="645"/>
      <c r="DH187" s="645"/>
      <c r="DI187" s="645"/>
      <c r="DJ187" s="645"/>
      <c r="DK187" s="645"/>
      <c r="DL187" s="645"/>
      <c r="DM187" s="645"/>
      <c r="DN187" s="645"/>
      <c r="DO187" s="645"/>
      <c r="DP187" s="645"/>
      <c r="DQ187" s="645"/>
      <c r="DR187" s="645"/>
      <c r="DS187" s="645"/>
      <c r="DT187" s="645"/>
      <c r="DU187" s="645"/>
      <c r="DV187" s="645"/>
      <c r="DW187" s="645"/>
      <c r="DX187" s="645"/>
      <c r="DY187" s="645"/>
      <c r="DZ187" s="645"/>
    </row>
    <row r="188" spans="1:130">
      <c r="A188" s="645"/>
      <c r="B188" s="645"/>
      <c r="C188" s="645"/>
      <c r="D188" s="645"/>
      <c r="E188" s="645"/>
      <c r="F188" s="645"/>
      <c r="G188" s="645"/>
      <c r="H188" s="645"/>
      <c r="I188" s="645"/>
      <c r="J188" s="645"/>
      <c r="K188" s="645"/>
      <c r="L188" s="645"/>
      <c r="M188" s="645"/>
      <c r="N188" s="645"/>
      <c r="O188" s="645"/>
      <c r="P188" s="645"/>
      <c r="Q188" s="645"/>
      <c r="R188" s="645"/>
      <c r="S188" s="645"/>
      <c r="T188" s="645"/>
      <c r="U188" s="645"/>
      <c r="V188" s="645"/>
      <c r="W188" s="645"/>
      <c r="X188" s="645"/>
      <c r="Y188" s="645"/>
      <c r="Z188" s="645"/>
      <c r="AA188" s="645"/>
      <c r="AB188" s="645"/>
      <c r="AC188" s="645"/>
      <c r="AD188" s="645"/>
      <c r="AE188" s="645"/>
      <c r="AF188" s="645"/>
      <c r="AG188" s="645"/>
      <c r="AH188" s="645"/>
      <c r="AI188" s="645"/>
      <c r="AJ188" s="645"/>
      <c r="AK188" s="645"/>
      <c r="AL188" s="645"/>
      <c r="AM188" s="645"/>
      <c r="AN188" s="645"/>
      <c r="AO188" s="645"/>
      <c r="AP188" s="645"/>
      <c r="AQ188" s="645"/>
      <c r="AR188" s="645"/>
      <c r="AS188" s="645"/>
      <c r="AT188" s="645"/>
      <c r="AU188" s="645"/>
      <c r="AV188" s="645"/>
      <c r="AW188" s="645"/>
      <c r="AX188" s="645"/>
      <c r="AY188" s="645"/>
      <c r="AZ188" s="645"/>
      <c r="BA188" s="645"/>
      <c r="BB188" s="645"/>
      <c r="BC188" s="645"/>
      <c r="BD188" s="645"/>
      <c r="BE188" s="645"/>
      <c r="BF188" s="645"/>
      <c r="BG188" s="645"/>
      <c r="BH188" s="645"/>
      <c r="BI188" s="645"/>
      <c r="BJ188" s="645"/>
      <c r="BK188" s="645"/>
      <c r="BL188" s="645"/>
      <c r="BM188" s="645"/>
      <c r="BN188" s="645"/>
      <c r="BO188" s="645"/>
      <c r="BP188" s="645"/>
      <c r="BQ188" s="645"/>
      <c r="BR188" s="645"/>
      <c r="BS188" s="645"/>
      <c r="BT188" s="645"/>
      <c r="BU188" s="645"/>
      <c r="BV188" s="645"/>
      <c r="BW188" s="645"/>
      <c r="BX188" s="645"/>
      <c r="BY188" s="645"/>
      <c r="BZ188" s="645"/>
      <c r="CA188" s="645"/>
      <c r="CB188" s="645"/>
      <c r="CC188" s="645"/>
      <c r="CD188" s="645"/>
      <c r="CE188" s="645"/>
      <c r="CF188" s="645"/>
      <c r="CG188" s="645"/>
      <c r="CH188" s="645"/>
      <c r="CI188" s="645"/>
      <c r="CJ188" s="645"/>
      <c r="CK188" s="645"/>
      <c r="CL188" s="645"/>
      <c r="CM188" s="645"/>
      <c r="CN188" s="645"/>
      <c r="CO188" s="645"/>
      <c r="CP188" s="645"/>
      <c r="CQ188" s="645"/>
      <c r="CR188" s="645"/>
      <c r="CS188" s="645"/>
      <c r="CT188" s="645"/>
      <c r="CU188" s="645"/>
      <c r="CV188" s="645"/>
      <c r="CW188" s="645"/>
      <c r="CX188" s="645"/>
      <c r="CY188" s="645"/>
      <c r="CZ188" s="645"/>
      <c r="DA188" s="645"/>
      <c r="DB188" s="645"/>
      <c r="DC188" s="645"/>
      <c r="DD188" s="645"/>
      <c r="DE188" s="645"/>
      <c r="DF188" s="645"/>
      <c r="DG188" s="645"/>
      <c r="DH188" s="645"/>
      <c r="DI188" s="645"/>
      <c r="DJ188" s="645"/>
      <c r="DK188" s="645"/>
      <c r="DL188" s="645"/>
      <c r="DM188" s="645"/>
      <c r="DN188" s="645"/>
      <c r="DO188" s="645"/>
      <c r="DP188" s="645"/>
      <c r="DQ188" s="645"/>
      <c r="DR188" s="645"/>
      <c r="DS188" s="645"/>
      <c r="DT188" s="645"/>
      <c r="DU188" s="645"/>
      <c r="DV188" s="645"/>
      <c r="DW188" s="645"/>
      <c r="DX188" s="645"/>
      <c r="DY188" s="645"/>
      <c r="DZ188" s="645"/>
    </row>
    <row r="189" spans="1:130">
      <c r="A189" s="645"/>
      <c r="B189" s="645"/>
      <c r="C189" s="645"/>
      <c r="D189" s="645"/>
      <c r="E189" s="645"/>
      <c r="F189" s="645"/>
      <c r="G189" s="645"/>
      <c r="H189" s="645"/>
      <c r="I189" s="645"/>
      <c r="J189" s="645"/>
      <c r="K189" s="645"/>
      <c r="L189" s="645"/>
      <c r="M189" s="645"/>
      <c r="N189" s="645"/>
      <c r="O189" s="645"/>
      <c r="P189" s="645"/>
      <c r="Q189" s="645"/>
      <c r="R189" s="645"/>
      <c r="S189" s="645"/>
      <c r="T189" s="645"/>
      <c r="U189" s="645"/>
      <c r="V189" s="645"/>
      <c r="W189" s="645"/>
      <c r="X189" s="645"/>
      <c r="Y189" s="645"/>
      <c r="Z189" s="645"/>
      <c r="AA189" s="645"/>
      <c r="AB189" s="645"/>
      <c r="AC189" s="645"/>
      <c r="AD189" s="645"/>
      <c r="AE189" s="645"/>
      <c r="AF189" s="645"/>
      <c r="AG189" s="645"/>
      <c r="AH189" s="645"/>
      <c r="AI189" s="645"/>
      <c r="AJ189" s="645"/>
      <c r="AK189" s="645"/>
      <c r="AL189" s="645"/>
      <c r="AM189" s="645"/>
      <c r="AN189" s="645"/>
      <c r="AO189" s="645"/>
      <c r="AP189" s="645"/>
      <c r="AQ189" s="645"/>
      <c r="AR189" s="645"/>
      <c r="AS189" s="645"/>
      <c r="AT189" s="645"/>
      <c r="AU189" s="645"/>
      <c r="AV189" s="645"/>
      <c r="AW189" s="645"/>
      <c r="AX189" s="645"/>
      <c r="AY189" s="645"/>
      <c r="AZ189" s="645"/>
      <c r="BA189" s="645"/>
      <c r="BB189" s="645"/>
      <c r="BC189" s="645"/>
      <c r="BD189" s="645"/>
      <c r="BE189" s="645"/>
      <c r="BF189" s="645"/>
      <c r="BG189" s="645"/>
      <c r="BH189" s="645"/>
      <c r="BI189" s="645"/>
      <c r="BJ189" s="645"/>
      <c r="BK189" s="645"/>
      <c r="BL189" s="645"/>
      <c r="BM189" s="645"/>
      <c r="BN189" s="645"/>
      <c r="BO189" s="645"/>
      <c r="BP189" s="645"/>
      <c r="BQ189" s="645"/>
      <c r="BR189" s="645"/>
      <c r="BS189" s="645"/>
      <c r="BT189" s="645"/>
      <c r="BU189" s="645"/>
      <c r="BV189" s="645"/>
      <c r="BW189" s="645"/>
      <c r="BX189" s="645"/>
      <c r="BY189" s="645"/>
      <c r="BZ189" s="645"/>
      <c r="CA189" s="645"/>
      <c r="CB189" s="645"/>
      <c r="CC189" s="645"/>
      <c r="CD189" s="645"/>
      <c r="CE189" s="645"/>
      <c r="CF189" s="645"/>
      <c r="CG189" s="645"/>
      <c r="CH189" s="645"/>
      <c r="CI189" s="645"/>
      <c r="CJ189" s="645"/>
      <c r="CK189" s="645"/>
      <c r="CL189" s="645"/>
      <c r="CM189" s="645"/>
      <c r="CN189" s="645"/>
      <c r="CO189" s="645"/>
      <c r="CP189" s="645"/>
      <c r="CQ189" s="645"/>
      <c r="CR189" s="645"/>
      <c r="CS189" s="645"/>
      <c r="CT189" s="645"/>
      <c r="CU189" s="645"/>
      <c r="CV189" s="645"/>
      <c r="CW189" s="645"/>
      <c r="CX189" s="645"/>
      <c r="CY189" s="645"/>
      <c r="CZ189" s="645"/>
      <c r="DA189" s="645"/>
      <c r="DB189" s="645"/>
      <c r="DC189" s="645"/>
      <c r="DD189" s="645"/>
      <c r="DE189" s="645"/>
      <c r="DF189" s="645"/>
      <c r="DG189" s="645"/>
      <c r="DH189" s="645"/>
      <c r="DI189" s="645"/>
      <c r="DJ189" s="645"/>
      <c r="DK189" s="645"/>
      <c r="DL189" s="645"/>
      <c r="DM189" s="645"/>
      <c r="DN189" s="645"/>
      <c r="DO189" s="645"/>
      <c r="DP189" s="645"/>
      <c r="DQ189" s="645"/>
      <c r="DR189" s="645"/>
      <c r="DS189" s="645"/>
      <c r="DT189" s="645"/>
      <c r="DU189" s="645"/>
      <c r="DV189" s="645"/>
      <c r="DW189" s="645"/>
      <c r="DX189" s="645"/>
      <c r="DY189" s="645"/>
      <c r="DZ189" s="645"/>
    </row>
    <row r="190" spans="1:130">
      <c r="A190" s="645"/>
      <c r="B190" s="645"/>
      <c r="C190" s="645"/>
      <c r="D190" s="645"/>
      <c r="E190" s="645"/>
      <c r="F190" s="645"/>
      <c r="G190" s="645"/>
      <c r="H190" s="645"/>
      <c r="I190" s="645"/>
      <c r="J190" s="645"/>
      <c r="K190" s="645"/>
      <c r="L190" s="645"/>
      <c r="M190" s="645"/>
      <c r="N190" s="645"/>
      <c r="O190" s="645"/>
      <c r="P190" s="645"/>
      <c r="Q190" s="645"/>
      <c r="R190" s="645"/>
      <c r="S190" s="645"/>
      <c r="T190" s="645"/>
      <c r="U190" s="645"/>
      <c r="V190" s="645"/>
      <c r="W190" s="645"/>
      <c r="X190" s="645"/>
      <c r="Y190" s="645"/>
      <c r="Z190" s="645"/>
      <c r="AA190" s="645"/>
      <c r="AB190" s="645"/>
      <c r="AC190" s="645"/>
      <c r="AD190" s="645"/>
      <c r="AE190" s="645"/>
      <c r="AF190" s="645"/>
      <c r="AG190" s="645"/>
      <c r="AH190" s="645"/>
      <c r="AI190" s="645"/>
      <c r="AJ190" s="645"/>
      <c r="AK190" s="645"/>
      <c r="AL190" s="645"/>
      <c r="AM190" s="645"/>
      <c r="AN190" s="645"/>
      <c r="AO190" s="645"/>
      <c r="AP190" s="645"/>
      <c r="AQ190" s="645"/>
      <c r="AR190" s="645"/>
      <c r="AS190" s="645"/>
      <c r="AT190" s="645"/>
      <c r="AU190" s="645"/>
      <c r="AV190" s="645"/>
      <c r="AW190" s="645"/>
      <c r="AX190" s="645"/>
      <c r="AY190" s="645"/>
      <c r="AZ190" s="645"/>
      <c r="BA190" s="645"/>
      <c r="BB190" s="645"/>
      <c r="BC190" s="645"/>
      <c r="BD190" s="645"/>
      <c r="BE190" s="645"/>
      <c r="BF190" s="645"/>
      <c r="BG190" s="645"/>
      <c r="BH190" s="645"/>
      <c r="BI190" s="645"/>
      <c r="BJ190" s="645"/>
      <c r="BK190" s="645"/>
      <c r="BL190" s="645"/>
      <c r="BM190" s="645"/>
      <c r="BN190" s="645"/>
      <c r="BO190" s="645"/>
      <c r="BP190" s="645"/>
      <c r="BQ190" s="645"/>
      <c r="BR190" s="645"/>
      <c r="BS190" s="645"/>
      <c r="BT190" s="645"/>
      <c r="BU190" s="645"/>
      <c r="BV190" s="645"/>
      <c r="BW190" s="645"/>
      <c r="BX190" s="645"/>
      <c r="BY190" s="645"/>
      <c r="BZ190" s="645"/>
      <c r="CA190" s="645"/>
      <c r="CB190" s="645"/>
      <c r="CC190" s="645"/>
      <c r="CD190" s="645"/>
      <c r="CE190" s="645"/>
      <c r="CF190" s="645"/>
      <c r="CG190" s="645"/>
      <c r="CH190" s="645"/>
      <c r="CI190" s="645"/>
      <c r="CJ190" s="645"/>
      <c r="CK190" s="645"/>
      <c r="CL190" s="645"/>
      <c r="CM190" s="645"/>
      <c r="CN190" s="645"/>
      <c r="CO190" s="645"/>
      <c r="CP190" s="645"/>
      <c r="CQ190" s="645"/>
      <c r="CR190" s="645"/>
      <c r="CS190" s="645"/>
      <c r="CT190" s="645"/>
      <c r="CU190" s="645"/>
      <c r="CV190" s="645"/>
      <c r="CW190" s="645"/>
      <c r="CX190" s="645"/>
      <c r="CY190" s="645"/>
      <c r="CZ190" s="645"/>
      <c r="DA190" s="645"/>
      <c r="DB190" s="645"/>
      <c r="DC190" s="645"/>
      <c r="DD190" s="645"/>
      <c r="DE190" s="645"/>
      <c r="DF190" s="645"/>
      <c r="DG190" s="645"/>
      <c r="DH190" s="645"/>
      <c r="DI190" s="645"/>
      <c r="DJ190" s="645"/>
      <c r="DK190" s="645"/>
      <c r="DL190" s="645"/>
      <c r="DM190" s="645"/>
      <c r="DN190" s="645"/>
      <c r="DO190" s="645"/>
      <c r="DP190" s="645"/>
      <c r="DQ190" s="645"/>
      <c r="DR190" s="645"/>
      <c r="DS190" s="645"/>
      <c r="DT190" s="645"/>
      <c r="DU190" s="645"/>
      <c r="DV190" s="645"/>
      <c r="DW190" s="645"/>
      <c r="DX190" s="645"/>
      <c r="DY190" s="645"/>
      <c r="DZ190" s="645"/>
    </row>
    <row r="191" spans="1:130">
      <c r="A191" s="645"/>
      <c r="B191" s="645"/>
      <c r="C191" s="645"/>
      <c r="D191" s="645"/>
      <c r="E191" s="645"/>
      <c r="F191" s="645"/>
      <c r="G191" s="645"/>
      <c r="H191" s="645"/>
      <c r="I191" s="645"/>
      <c r="J191" s="645"/>
      <c r="K191" s="645"/>
      <c r="L191" s="645"/>
      <c r="M191" s="645"/>
      <c r="N191" s="645"/>
      <c r="O191" s="645"/>
      <c r="P191" s="645"/>
      <c r="Q191" s="645"/>
      <c r="R191" s="645"/>
      <c r="S191" s="645"/>
      <c r="T191" s="645"/>
      <c r="U191" s="645"/>
      <c r="V191" s="645"/>
      <c r="W191" s="645"/>
      <c r="X191" s="645"/>
      <c r="Y191" s="645"/>
      <c r="Z191" s="645"/>
      <c r="AA191" s="645"/>
      <c r="AB191" s="645"/>
      <c r="AC191" s="645"/>
      <c r="AD191" s="645"/>
      <c r="AE191" s="645"/>
      <c r="AF191" s="645"/>
      <c r="AG191" s="645"/>
      <c r="AH191" s="645"/>
      <c r="AI191" s="645"/>
      <c r="AJ191" s="645"/>
      <c r="AK191" s="645"/>
      <c r="AL191" s="645"/>
      <c r="AM191" s="645"/>
      <c r="AN191" s="645"/>
      <c r="AO191" s="645"/>
      <c r="AP191" s="645"/>
      <c r="AQ191" s="645"/>
      <c r="AR191" s="645"/>
      <c r="AS191" s="645"/>
      <c r="AT191" s="645"/>
      <c r="AU191" s="645"/>
      <c r="AV191" s="645"/>
      <c r="AW191" s="645"/>
      <c r="AX191" s="645"/>
      <c r="AY191" s="645"/>
      <c r="AZ191" s="645"/>
      <c r="BA191" s="645"/>
      <c r="BB191" s="645"/>
      <c r="BC191" s="645"/>
      <c r="BD191" s="645"/>
      <c r="BE191" s="645"/>
      <c r="BF191" s="645"/>
      <c r="BG191" s="645"/>
      <c r="BH191" s="645"/>
      <c r="BI191" s="645"/>
      <c r="BJ191" s="645"/>
      <c r="BK191" s="645"/>
      <c r="BL191" s="645"/>
      <c r="BM191" s="645"/>
      <c r="BN191" s="645"/>
      <c r="BO191" s="645"/>
      <c r="BP191" s="645"/>
      <c r="BQ191" s="645"/>
      <c r="BR191" s="645"/>
      <c r="BS191" s="645"/>
      <c r="BT191" s="645"/>
      <c r="BU191" s="645"/>
      <c r="BV191" s="645"/>
      <c r="BW191" s="645"/>
      <c r="BX191" s="645"/>
      <c r="BY191" s="645"/>
      <c r="BZ191" s="645"/>
      <c r="CA191" s="645"/>
      <c r="CB191" s="645"/>
      <c r="CC191" s="645"/>
      <c r="CD191" s="645"/>
      <c r="CE191" s="645"/>
      <c r="CF191" s="645"/>
      <c r="CG191" s="645"/>
      <c r="CH191" s="645"/>
      <c r="CI191" s="645"/>
      <c r="CJ191" s="645"/>
      <c r="CK191" s="645"/>
      <c r="CL191" s="645"/>
      <c r="CM191" s="645"/>
      <c r="CN191" s="645"/>
      <c r="CO191" s="645"/>
      <c r="CP191" s="645"/>
      <c r="CQ191" s="645"/>
      <c r="CR191" s="645"/>
      <c r="CS191" s="645"/>
      <c r="CT191" s="645"/>
      <c r="CU191" s="645"/>
      <c r="CV191" s="645"/>
      <c r="CW191" s="645"/>
      <c r="CX191" s="645"/>
      <c r="CY191" s="645"/>
      <c r="CZ191" s="645"/>
      <c r="DA191" s="645"/>
      <c r="DB191" s="645"/>
      <c r="DC191" s="645"/>
      <c r="DD191" s="645"/>
      <c r="DE191" s="645"/>
      <c r="DF191" s="645"/>
      <c r="DG191" s="645"/>
      <c r="DH191" s="645"/>
      <c r="DI191" s="645"/>
      <c r="DJ191" s="645"/>
      <c r="DK191" s="645"/>
      <c r="DL191" s="645"/>
      <c r="DM191" s="645"/>
      <c r="DN191" s="645"/>
      <c r="DO191" s="645"/>
      <c r="DP191" s="645"/>
      <c r="DQ191" s="645"/>
      <c r="DR191" s="645"/>
      <c r="DS191" s="645"/>
      <c r="DT191" s="645"/>
      <c r="DU191" s="645"/>
      <c r="DV191" s="645"/>
      <c r="DW191" s="645"/>
      <c r="DX191" s="645"/>
      <c r="DY191" s="645"/>
      <c r="DZ191" s="645"/>
    </row>
    <row r="192" spans="1:130">
      <c r="A192" s="645"/>
      <c r="B192" s="645"/>
      <c r="C192" s="645"/>
      <c r="D192" s="645"/>
      <c r="E192" s="645"/>
      <c r="F192" s="645"/>
      <c r="G192" s="645"/>
      <c r="H192" s="645"/>
      <c r="I192" s="645"/>
      <c r="J192" s="645"/>
      <c r="K192" s="645"/>
      <c r="L192" s="645"/>
      <c r="M192" s="645"/>
      <c r="N192" s="645"/>
      <c r="O192" s="645"/>
      <c r="P192" s="645"/>
      <c r="Q192" s="645"/>
      <c r="R192" s="645"/>
      <c r="S192" s="645"/>
      <c r="T192" s="645"/>
      <c r="U192" s="645"/>
      <c r="V192" s="645"/>
      <c r="W192" s="645"/>
      <c r="X192" s="645"/>
      <c r="Y192" s="645"/>
      <c r="Z192" s="645"/>
      <c r="AA192" s="645"/>
      <c r="AB192" s="645"/>
      <c r="AC192" s="645"/>
      <c r="AD192" s="645"/>
      <c r="AE192" s="645"/>
      <c r="AF192" s="645"/>
      <c r="AG192" s="645"/>
      <c r="AH192" s="645"/>
      <c r="AI192" s="645"/>
      <c r="AJ192" s="645"/>
      <c r="AK192" s="645"/>
      <c r="AL192" s="645"/>
      <c r="AM192" s="645"/>
      <c r="AN192" s="645"/>
      <c r="AO192" s="645"/>
      <c r="AP192" s="645"/>
      <c r="AQ192" s="645"/>
      <c r="AR192" s="645"/>
      <c r="AS192" s="645"/>
      <c r="AT192" s="645"/>
      <c r="AU192" s="645"/>
      <c r="AV192" s="645"/>
      <c r="AW192" s="645"/>
      <c r="AX192" s="645"/>
      <c r="AY192" s="645"/>
      <c r="AZ192" s="645"/>
      <c r="BA192" s="645"/>
      <c r="BB192" s="645"/>
      <c r="BC192" s="645"/>
      <c r="BD192" s="645"/>
      <c r="BE192" s="645"/>
      <c r="BF192" s="645"/>
      <c r="BG192" s="645"/>
      <c r="BH192" s="645"/>
      <c r="BI192" s="645"/>
      <c r="BJ192" s="645"/>
      <c r="BK192" s="645"/>
      <c r="BL192" s="645"/>
      <c r="BM192" s="645"/>
      <c r="BN192" s="645"/>
      <c r="BO192" s="645"/>
      <c r="BP192" s="645"/>
      <c r="BQ192" s="645"/>
      <c r="BR192" s="645"/>
      <c r="BS192" s="645"/>
      <c r="BT192" s="645"/>
      <c r="BU192" s="645"/>
      <c r="BV192" s="645"/>
      <c r="BW192" s="645"/>
      <c r="BX192" s="645"/>
      <c r="BY192" s="645"/>
      <c r="BZ192" s="645"/>
      <c r="CA192" s="645"/>
      <c r="CB192" s="645"/>
      <c r="CC192" s="645"/>
      <c r="CD192" s="645"/>
      <c r="CE192" s="645"/>
      <c r="CF192" s="645"/>
      <c r="CG192" s="645"/>
      <c r="CH192" s="645"/>
      <c r="CI192" s="645"/>
      <c r="CJ192" s="645"/>
      <c r="CK192" s="645"/>
      <c r="CL192" s="645"/>
      <c r="CM192" s="645"/>
      <c r="CN192" s="645"/>
      <c r="CO192" s="645"/>
      <c r="CP192" s="645"/>
      <c r="CQ192" s="645"/>
      <c r="CR192" s="645"/>
      <c r="CS192" s="645"/>
      <c r="CT192" s="645"/>
      <c r="CU192" s="645"/>
      <c r="CV192" s="645"/>
      <c r="CW192" s="645"/>
      <c r="CX192" s="645"/>
      <c r="CY192" s="645"/>
      <c r="CZ192" s="645"/>
      <c r="DA192" s="645"/>
      <c r="DB192" s="645"/>
      <c r="DC192" s="645"/>
      <c r="DD192" s="645"/>
      <c r="DE192" s="645"/>
      <c r="DF192" s="645"/>
      <c r="DG192" s="645"/>
      <c r="DH192" s="645"/>
      <c r="DI192" s="645"/>
      <c r="DJ192" s="645"/>
      <c r="DK192" s="645"/>
      <c r="DL192" s="645"/>
      <c r="DM192" s="645"/>
      <c r="DN192" s="645"/>
      <c r="DO192" s="645"/>
      <c r="DP192" s="645"/>
      <c r="DQ192" s="645"/>
      <c r="DR192" s="645"/>
      <c r="DS192" s="645"/>
      <c r="DT192" s="645"/>
      <c r="DU192" s="645"/>
      <c r="DV192" s="645"/>
      <c r="DW192" s="645"/>
      <c r="DX192" s="645"/>
      <c r="DY192" s="645"/>
      <c r="DZ192" s="645"/>
    </row>
    <row r="193" spans="1:130">
      <c r="A193" s="645"/>
      <c r="B193" s="645"/>
      <c r="C193" s="645"/>
      <c r="D193" s="645"/>
      <c r="E193" s="645"/>
      <c r="F193" s="645"/>
      <c r="G193" s="645"/>
      <c r="H193" s="645"/>
      <c r="I193" s="645"/>
      <c r="J193" s="645"/>
      <c r="K193" s="645"/>
      <c r="L193" s="645"/>
      <c r="M193" s="645"/>
      <c r="N193" s="645"/>
      <c r="O193" s="645"/>
      <c r="P193" s="645"/>
      <c r="Q193" s="645"/>
      <c r="R193" s="645"/>
      <c r="S193" s="645"/>
      <c r="T193" s="645"/>
      <c r="U193" s="645"/>
      <c r="V193" s="645"/>
      <c r="W193" s="645"/>
      <c r="X193" s="645"/>
      <c r="Y193" s="645"/>
      <c r="Z193" s="645"/>
      <c r="AA193" s="645"/>
      <c r="AB193" s="645"/>
      <c r="AC193" s="645"/>
      <c r="AD193" s="645"/>
      <c r="AE193" s="645"/>
      <c r="AF193" s="645"/>
      <c r="AG193" s="645"/>
      <c r="AH193" s="645"/>
      <c r="AI193" s="645"/>
      <c r="AJ193" s="645"/>
      <c r="AK193" s="645"/>
      <c r="AL193" s="645"/>
      <c r="AM193" s="645"/>
      <c r="AN193" s="645"/>
      <c r="AO193" s="645"/>
      <c r="AP193" s="645"/>
      <c r="AQ193" s="645"/>
      <c r="AR193" s="645"/>
      <c r="AS193" s="645"/>
      <c r="AT193" s="645"/>
      <c r="AU193" s="645"/>
      <c r="AV193" s="645"/>
      <c r="AW193" s="645"/>
      <c r="AX193" s="645"/>
      <c r="AY193" s="645"/>
      <c r="AZ193" s="645"/>
      <c r="BA193" s="645"/>
      <c r="BB193" s="645"/>
      <c r="BC193" s="645"/>
      <c r="BD193" s="645"/>
      <c r="BE193" s="645"/>
      <c r="BF193" s="645"/>
      <c r="BG193" s="645"/>
      <c r="BH193" s="645"/>
      <c r="BI193" s="645"/>
      <c r="BJ193" s="645"/>
      <c r="BK193" s="645"/>
      <c r="BL193" s="645"/>
      <c r="BM193" s="645"/>
      <c r="BN193" s="645"/>
      <c r="BO193" s="645"/>
      <c r="BP193" s="645"/>
      <c r="BQ193" s="645"/>
      <c r="BR193" s="645"/>
      <c r="BS193" s="645"/>
      <c r="BT193" s="645"/>
      <c r="BU193" s="645"/>
      <c r="BV193" s="645"/>
      <c r="BW193" s="645"/>
      <c r="BX193" s="645"/>
      <c r="BY193" s="645"/>
      <c r="BZ193" s="645"/>
      <c r="CA193" s="645"/>
      <c r="CB193" s="645"/>
      <c r="CC193" s="645"/>
      <c r="CD193" s="645"/>
      <c r="CE193" s="645"/>
      <c r="CF193" s="645"/>
      <c r="CG193" s="645"/>
      <c r="CH193" s="645"/>
      <c r="CI193" s="645"/>
      <c r="CJ193" s="645"/>
      <c r="CK193" s="645"/>
      <c r="CL193" s="645"/>
      <c r="CM193" s="645"/>
      <c r="CN193" s="645"/>
      <c r="CO193" s="645"/>
      <c r="CP193" s="645"/>
      <c r="CQ193" s="645"/>
      <c r="CR193" s="645"/>
      <c r="CS193" s="645"/>
      <c r="CT193" s="645"/>
      <c r="CU193" s="645"/>
      <c r="CV193" s="645"/>
      <c r="CW193" s="645"/>
      <c r="CX193" s="645"/>
      <c r="CY193" s="645"/>
      <c r="CZ193" s="645"/>
      <c r="DA193" s="645"/>
      <c r="DB193" s="645"/>
      <c r="DC193" s="645"/>
      <c r="DD193" s="645"/>
      <c r="DE193" s="645"/>
      <c r="DF193" s="645"/>
      <c r="DG193" s="645"/>
      <c r="DH193" s="645"/>
      <c r="DI193" s="645"/>
      <c r="DJ193" s="645"/>
      <c r="DK193" s="645"/>
      <c r="DL193" s="645"/>
      <c r="DM193" s="645"/>
      <c r="DN193" s="645"/>
      <c r="DO193" s="645"/>
      <c r="DP193" s="645"/>
      <c r="DQ193" s="645"/>
      <c r="DR193" s="645"/>
      <c r="DS193" s="645"/>
      <c r="DT193" s="645"/>
      <c r="DU193" s="645"/>
      <c r="DV193" s="645"/>
      <c r="DW193" s="645"/>
      <c r="DX193" s="645"/>
      <c r="DY193" s="645"/>
      <c r="DZ193" s="645"/>
    </row>
    <row r="194" spans="1:130">
      <c r="A194" s="645"/>
      <c r="B194" s="645"/>
      <c r="C194" s="645"/>
      <c r="D194" s="645"/>
      <c r="E194" s="645"/>
      <c r="F194" s="645"/>
      <c r="G194" s="645"/>
      <c r="H194" s="645"/>
      <c r="I194" s="645"/>
      <c r="J194" s="645"/>
      <c r="K194" s="645"/>
      <c r="L194" s="645"/>
      <c r="M194" s="645"/>
      <c r="N194" s="645"/>
      <c r="O194" s="645"/>
      <c r="P194" s="645"/>
      <c r="Q194" s="645"/>
      <c r="R194" s="645"/>
      <c r="S194" s="645"/>
      <c r="T194" s="645"/>
      <c r="U194" s="645"/>
      <c r="V194" s="645"/>
      <c r="W194" s="645"/>
      <c r="X194" s="645"/>
      <c r="Y194" s="645"/>
      <c r="Z194" s="645"/>
      <c r="AA194" s="645"/>
      <c r="AB194" s="645"/>
      <c r="AC194" s="645"/>
      <c r="AD194" s="645"/>
      <c r="AE194" s="645"/>
      <c r="AF194" s="645"/>
      <c r="AG194" s="645"/>
      <c r="AH194" s="645"/>
      <c r="AI194" s="645"/>
      <c r="AJ194" s="645"/>
      <c r="AK194" s="645"/>
      <c r="AL194" s="645"/>
      <c r="AM194" s="645"/>
      <c r="AN194" s="645"/>
      <c r="AO194" s="645"/>
      <c r="AP194" s="645"/>
      <c r="AQ194" s="645"/>
      <c r="AR194" s="645"/>
      <c r="AS194" s="645"/>
      <c r="AT194" s="645"/>
      <c r="AU194" s="645"/>
      <c r="AV194" s="645"/>
      <c r="AW194" s="645"/>
      <c r="AX194" s="645"/>
      <c r="AY194" s="645"/>
      <c r="AZ194" s="645"/>
      <c r="BA194" s="645"/>
      <c r="BB194" s="645"/>
      <c r="BC194" s="645"/>
      <c r="BD194" s="645"/>
      <c r="BE194" s="645"/>
      <c r="BF194" s="645"/>
      <c r="BG194" s="645"/>
      <c r="BH194" s="645"/>
      <c r="BI194" s="645"/>
      <c r="BJ194" s="645"/>
      <c r="BK194" s="645"/>
      <c r="BL194" s="645"/>
      <c r="BM194" s="645"/>
      <c r="BN194" s="645"/>
      <c r="BO194" s="645"/>
      <c r="BP194" s="645"/>
      <c r="BQ194" s="645"/>
      <c r="BR194" s="645"/>
      <c r="BS194" s="645"/>
      <c r="BT194" s="645"/>
      <c r="BU194" s="645"/>
      <c r="BV194" s="645"/>
      <c r="BW194" s="645"/>
      <c r="BX194" s="645"/>
      <c r="BY194" s="645"/>
      <c r="BZ194" s="645"/>
      <c r="CA194" s="645"/>
      <c r="CB194" s="645"/>
      <c r="CC194" s="645"/>
      <c r="CD194" s="645"/>
      <c r="CE194" s="645"/>
      <c r="CF194" s="645"/>
      <c r="CG194" s="645"/>
      <c r="CH194" s="645"/>
      <c r="CI194" s="645"/>
      <c r="CJ194" s="645"/>
      <c r="CK194" s="645"/>
      <c r="CL194" s="645"/>
      <c r="CM194" s="645"/>
      <c r="CN194" s="645"/>
      <c r="CO194" s="645"/>
      <c r="CP194" s="645"/>
      <c r="CQ194" s="645"/>
      <c r="CR194" s="645"/>
      <c r="CS194" s="645"/>
      <c r="CT194" s="645"/>
      <c r="CU194" s="645"/>
      <c r="CV194" s="645"/>
      <c r="CW194" s="645"/>
      <c r="CX194" s="645"/>
      <c r="CY194" s="645"/>
      <c r="CZ194" s="645"/>
      <c r="DA194" s="645"/>
      <c r="DB194" s="645"/>
      <c r="DC194" s="645"/>
      <c r="DD194" s="645"/>
      <c r="DE194" s="645"/>
      <c r="DF194" s="645"/>
      <c r="DG194" s="645"/>
      <c r="DH194" s="645"/>
      <c r="DI194" s="645"/>
      <c r="DJ194" s="645"/>
      <c r="DK194" s="645"/>
      <c r="DL194" s="645"/>
      <c r="DM194" s="645"/>
      <c r="DN194" s="645"/>
      <c r="DO194" s="645"/>
      <c r="DP194" s="645"/>
      <c r="DQ194" s="645"/>
      <c r="DR194" s="645"/>
      <c r="DS194" s="645"/>
      <c r="DT194" s="645"/>
      <c r="DU194" s="645"/>
      <c r="DV194" s="645"/>
      <c r="DW194" s="645"/>
      <c r="DX194" s="645"/>
      <c r="DY194" s="645"/>
      <c r="DZ194" s="645"/>
    </row>
    <row r="195" spans="1:130">
      <c r="A195" s="645"/>
      <c r="B195" s="645"/>
      <c r="C195" s="645"/>
      <c r="D195" s="645"/>
      <c r="E195" s="645"/>
      <c r="F195" s="645"/>
      <c r="G195" s="645"/>
      <c r="H195" s="645"/>
      <c r="I195" s="645"/>
      <c r="J195" s="645"/>
      <c r="K195" s="645"/>
      <c r="L195" s="645"/>
      <c r="M195" s="645"/>
      <c r="N195" s="645"/>
      <c r="O195" s="645"/>
      <c r="P195" s="645"/>
      <c r="Q195" s="645"/>
      <c r="R195" s="645"/>
      <c r="S195" s="645"/>
      <c r="T195" s="645"/>
      <c r="U195" s="645"/>
      <c r="V195" s="645"/>
      <c r="W195" s="645"/>
      <c r="X195" s="645"/>
      <c r="Y195" s="645"/>
      <c r="Z195" s="645"/>
      <c r="AA195" s="645"/>
      <c r="AB195" s="645"/>
      <c r="AC195" s="645"/>
      <c r="AD195" s="645"/>
      <c r="AE195" s="645"/>
      <c r="AF195" s="645"/>
      <c r="AG195" s="645"/>
      <c r="AH195" s="645"/>
      <c r="AI195" s="645"/>
      <c r="AJ195" s="645"/>
      <c r="AK195" s="645"/>
      <c r="AL195" s="645"/>
      <c r="AM195" s="645"/>
      <c r="AN195" s="645"/>
      <c r="AO195" s="645"/>
      <c r="AP195" s="645"/>
      <c r="AQ195" s="645"/>
      <c r="AR195" s="645"/>
      <c r="AS195" s="645"/>
      <c r="AT195" s="645"/>
      <c r="AU195" s="645"/>
      <c r="AV195" s="645"/>
      <c r="AW195" s="645"/>
      <c r="AX195" s="645"/>
      <c r="AY195" s="645"/>
      <c r="AZ195" s="645"/>
      <c r="BA195" s="645"/>
      <c r="BB195" s="645"/>
      <c r="BC195" s="645"/>
      <c r="BD195" s="645"/>
      <c r="BE195" s="645"/>
      <c r="BF195" s="645"/>
      <c r="BG195" s="645"/>
      <c r="BH195" s="645"/>
      <c r="BI195" s="645"/>
      <c r="BJ195" s="645"/>
      <c r="BK195" s="645"/>
      <c r="BL195" s="645"/>
      <c r="BM195" s="645"/>
      <c r="BN195" s="645"/>
      <c r="BO195" s="645"/>
      <c r="BP195" s="645"/>
      <c r="BQ195" s="645"/>
      <c r="BR195" s="645"/>
      <c r="BS195" s="645"/>
      <c r="BT195" s="645"/>
      <c r="BU195" s="645"/>
      <c r="BV195" s="645"/>
      <c r="BW195" s="645"/>
      <c r="BX195" s="645"/>
      <c r="BY195" s="645"/>
      <c r="BZ195" s="645"/>
      <c r="CA195" s="645"/>
      <c r="CB195" s="645"/>
      <c r="CC195" s="645"/>
      <c r="CD195" s="645"/>
      <c r="CE195" s="645"/>
      <c r="CF195" s="645"/>
      <c r="CG195" s="645"/>
      <c r="CH195" s="645"/>
      <c r="CI195" s="645"/>
      <c r="CJ195" s="645"/>
      <c r="CK195" s="645"/>
      <c r="CL195" s="645"/>
      <c r="CM195" s="645"/>
      <c r="CN195" s="645"/>
      <c r="CO195" s="645"/>
      <c r="CP195" s="645"/>
      <c r="CQ195" s="645"/>
      <c r="CR195" s="645"/>
      <c r="CS195" s="645"/>
      <c r="CT195" s="645"/>
      <c r="CU195" s="645"/>
      <c r="CV195" s="645"/>
      <c r="CW195" s="645"/>
      <c r="CX195" s="645"/>
      <c r="CY195" s="645"/>
      <c r="CZ195" s="645"/>
      <c r="DA195" s="645"/>
      <c r="DB195" s="645"/>
      <c r="DC195" s="645"/>
      <c r="DD195" s="645"/>
      <c r="DE195" s="645"/>
      <c r="DF195" s="645"/>
      <c r="DG195" s="645"/>
      <c r="DH195" s="645"/>
      <c r="DI195" s="645"/>
      <c r="DJ195" s="645"/>
      <c r="DK195" s="645"/>
      <c r="DL195" s="645"/>
      <c r="DM195" s="645"/>
      <c r="DN195" s="645"/>
      <c r="DO195" s="645"/>
      <c r="DP195" s="645"/>
      <c r="DQ195" s="645"/>
      <c r="DR195" s="645"/>
      <c r="DS195" s="645"/>
      <c r="DT195" s="645"/>
      <c r="DU195" s="645"/>
      <c r="DV195" s="645"/>
      <c r="DW195" s="645"/>
      <c r="DX195" s="645"/>
      <c r="DY195" s="645"/>
      <c r="DZ195" s="645"/>
    </row>
    <row r="196" spans="1:130">
      <c r="A196" s="645"/>
      <c r="B196" s="645"/>
      <c r="C196" s="645"/>
      <c r="D196" s="645"/>
      <c r="E196" s="645"/>
      <c r="F196" s="645"/>
      <c r="G196" s="645"/>
      <c r="H196" s="645"/>
      <c r="I196" s="645"/>
      <c r="J196" s="645"/>
      <c r="K196" s="645"/>
      <c r="L196" s="645"/>
      <c r="M196" s="645"/>
      <c r="N196" s="645"/>
      <c r="O196" s="645"/>
      <c r="P196" s="645"/>
      <c r="Q196" s="645"/>
      <c r="R196" s="645"/>
      <c r="S196" s="645"/>
      <c r="T196" s="645"/>
      <c r="U196" s="645"/>
      <c r="V196" s="645"/>
      <c r="W196" s="645"/>
      <c r="X196" s="645"/>
      <c r="Y196" s="645"/>
      <c r="Z196" s="645"/>
      <c r="AA196" s="645"/>
      <c r="AB196" s="645"/>
      <c r="AC196" s="645"/>
      <c r="AD196" s="645"/>
      <c r="AE196" s="645"/>
      <c r="AF196" s="645"/>
      <c r="AG196" s="645"/>
      <c r="AH196" s="645"/>
      <c r="AI196" s="645"/>
      <c r="AJ196" s="645"/>
      <c r="AK196" s="645"/>
      <c r="AL196" s="645"/>
      <c r="AM196" s="645"/>
      <c r="AN196" s="645"/>
      <c r="AO196" s="645"/>
      <c r="AP196" s="645"/>
      <c r="AQ196" s="645"/>
      <c r="AR196" s="645"/>
      <c r="AS196" s="645"/>
      <c r="AT196" s="645"/>
      <c r="AU196" s="645"/>
      <c r="AV196" s="645"/>
      <c r="AW196" s="645"/>
      <c r="AX196" s="645"/>
      <c r="AY196" s="645"/>
      <c r="AZ196" s="645"/>
      <c r="BA196" s="645"/>
      <c r="BB196" s="645"/>
      <c r="BC196" s="645"/>
      <c r="BD196" s="645"/>
      <c r="BE196" s="645"/>
      <c r="BF196" s="645"/>
      <c r="BG196" s="645"/>
      <c r="BH196" s="645"/>
      <c r="BI196" s="645"/>
      <c r="BJ196" s="645"/>
      <c r="BK196" s="645"/>
      <c r="BL196" s="645"/>
      <c r="BM196" s="645"/>
      <c r="BN196" s="645"/>
      <c r="BO196" s="645"/>
      <c r="BP196" s="645"/>
      <c r="BQ196" s="645"/>
      <c r="BR196" s="645"/>
      <c r="BS196" s="645"/>
      <c r="BT196" s="645"/>
      <c r="BU196" s="645"/>
      <c r="BV196" s="645"/>
      <c r="BW196" s="645"/>
      <c r="BX196" s="645"/>
      <c r="BY196" s="645"/>
      <c r="BZ196" s="645"/>
      <c r="CA196" s="645"/>
      <c r="CB196" s="645"/>
      <c r="CC196" s="645"/>
      <c r="CD196" s="645"/>
      <c r="CE196" s="645"/>
      <c r="CF196" s="645"/>
      <c r="CG196" s="645"/>
      <c r="CH196" s="645"/>
      <c r="CI196" s="645"/>
      <c r="CJ196" s="645"/>
      <c r="CK196" s="645"/>
      <c r="CL196" s="645"/>
      <c r="CM196" s="645"/>
      <c r="CN196" s="645"/>
      <c r="CO196" s="645"/>
      <c r="CP196" s="645"/>
      <c r="CQ196" s="645"/>
      <c r="CR196" s="645"/>
      <c r="CS196" s="645"/>
      <c r="CT196" s="645"/>
      <c r="CU196" s="645"/>
      <c r="CV196" s="645"/>
      <c r="CW196" s="645"/>
      <c r="CX196" s="645"/>
      <c r="CY196" s="645"/>
      <c r="CZ196" s="645"/>
      <c r="DA196" s="645"/>
      <c r="DB196" s="645"/>
      <c r="DC196" s="645"/>
      <c r="DD196" s="645"/>
      <c r="DE196" s="645"/>
      <c r="DF196" s="645"/>
      <c r="DG196" s="645"/>
      <c r="DH196" s="645"/>
      <c r="DI196" s="645"/>
      <c r="DJ196" s="645"/>
      <c r="DK196" s="645"/>
      <c r="DL196" s="645"/>
      <c r="DM196" s="645"/>
      <c r="DN196" s="645"/>
      <c r="DO196" s="645"/>
      <c r="DP196" s="645"/>
      <c r="DQ196" s="645"/>
      <c r="DR196" s="645"/>
      <c r="DS196" s="645"/>
      <c r="DT196" s="645"/>
      <c r="DU196" s="645"/>
      <c r="DV196" s="645"/>
      <c r="DW196" s="645"/>
      <c r="DX196" s="645"/>
      <c r="DY196" s="645"/>
      <c r="DZ196" s="645"/>
    </row>
    <row r="197" spans="1:130">
      <c r="A197" s="645"/>
      <c r="B197" s="645"/>
      <c r="C197" s="645"/>
      <c r="D197" s="645"/>
      <c r="E197" s="645"/>
      <c r="F197" s="645"/>
      <c r="G197" s="645"/>
      <c r="H197" s="645"/>
      <c r="I197" s="645"/>
      <c r="J197" s="645"/>
      <c r="K197" s="645"/>
      <c r="L197" s="645"/>
      <c r="M197" s="645"/>
      <c r="N197" s="645"/>
      <c r="O197" s="645"/>
      <c r="P197" s="645"/>
      <c r="Q197" s="645"/>
      <c r="R197" s="645"/>
      <c r="S197" s="645"/>
      <c r="T197" s="645"/>
      <c r="U197" s="645"/>
      <c r="V197" s="645"/>
      <c r="W197" s="645"/>
      <c r="X197" s="645"/>
      <c r="Y197" s="645"/>
      <c r="Z197" s="645"/>
      <c r="AA197" s="645"/>
      <c r="AB197" s="645"/>
      <c r="AC197" s="645"/>
      <c r="AD197" s="645"/>
      <c r="AE197" s="645"/>
      <c r="AF197" s="645"/>
      <c r="AG197" s="645"/>
      <c r="AH197" s="645"/>
      <c r="AI197" s="645"/>
      <c r="AJ197" s="645"/>
      <c r="AK197" s="645"/>
      <c r="AL197" s="645"/>
      <c r="AM197" s="645"/>
      <c r="AN197" s="645"/>
      <c r="AO197" s="645"/>
      <c r="AP197" s="645"/>
      <c r="AQ197" s="645"/>
      <c r="AR197" s="645"/>
      <c r="AS197" s="645"/>
      <c r="AT197" s="645"/>
      <c r="AU197" s="645"/>
      <c r="AV197" s="645"/>
      <c r="AW197" s="645"/>
      <c r="AX197" s="645"/>
      <c r="AY197" s="645"/>
      <c r="AZ197" s="645"/>
      <c r="BA197" s="645"/>
      <c r="BB197" s="645"/>
      <c r="BC197" s="645"/>
      <c r="BD197" s="645"/>
      <c r="BE197" s="645"/>
      <c r="BF197" s="645"/>
      <c r="BG197" s="645"/>
      <c r="BH197" s="645"/>
      <c r="BI197" s="645"/>
      <c r="BJ197" s="645"/>
      <c r="BK197" s="645"/>
      <c r="BL197" s="645"/>
      <c r="BM197" s="645"/>
      <c r="BN197" s="645"/>
      <c r="BO197" s="645"/>
      <c r="BP197" s="645"/>
      <c r="BQ197" s="645"/>
      <c r="BR197" s="645"/>
      <c r="BS197" s="645"/>
      <c r="BT197" s="645"/>
      <c r="BU197" s="645"/>
      <c r="BV197" s="645"/>
      <c r="BW197" s="645"/>
      <c r="BX197" s="645"/>
      <c r="BY197" s="645"/>
      <c r="BZ197" s="645"/>
      <c r="CA197" s="645"/>
      <c r="CB197" s="645"/>
      <c r="CC197" s="645"/>
      <c r="CD197" s="645"/>
      <c r="CE197" s="645"/>
      <c r="CF197" s="645"/>
      <c r="CG197" s="645"/>
      <c r="CH197" s="645"/>
      <c r="CI197" s="645"/>
      <c r="CJ197" s="645"/>
      <c r="CK197" s="645"/>
      <c r="CL197" s="645"/>
      <c r="CM197" s="645"/>
      <c r="CN197" s="645"/>
      <c r="CO197" s="645"/>
      <c r="CP197" s="645"/>
      <c r="CQ197" s="645"/>
      <c r="CR197" s="645"/>
      <c r="CS197" s="645"/>
      <c r="CT197" s="645"/>
      <c r="CU197" s="645"/>
      <c r="CV197" s="645"/>
      <c r="CW197" s="645"/>
      <c r="CX197" s="645"/>
      <c r="CY197" s="645"/>
      <c r="CZ197" s="645"/>
      <c r="DA197" s="645"/>
      <c r="DB197" s="645"/>
      <c r="DC197" s="645"/>
      <c r="DD197" s="645"/>
      <c r="DE197" s="645"/>
      <c r="DF197" s="645"/>
      <c r="DG197" s="645"/>
      <c r="DH197" s="645"/>
      <c r="DI197" s="645"/>
      <c r="DJ197" s="645"/>
      <c r="DK197" s="645"/>
      <c r="DL197" s="645"/>
      <c r="DM197" s="645"/>
      <c r="DN197" s="645"/>
      <c r="DO197" s="645"/>
      <c r="DP197" s="645"/>
      <c r="DQ197" s="645"/>
      <c r="DR197" s="645"/>
      <c r="DS197" s="645"/>
      <c r="DT197" s="645"/>
      <c r="DU197" s="645"/>
      <c r="DV197" s="645"/>
      <c r="DW197" s="645"/>
      <c r="DX197" s="645"/>
      <c r="DY197" s="645"/>
      <c r="DZ197" s="645"/>
    </row>
    <row r="198" spans="1:130">
      <c r="A198" s="645"/>
      <c r="B198" s="645"/>
      <c r="C198" s="645"/>
      <c r="D198" s="645"/>
      <c r="E198" s="645"/>
      <c r="F198" s="645"/>
      <c r="G198" s="645"/>
      <c r="H198" s="645"/>
      <c r="I198" s="645"/>
      <c r="J198" s="645"/>
      <c r="K198" s="645"/>
      <c r="L198" s="645"/>
      <c r="M198" s="645"/>
      <c r="N198" s="645"/>
      <c r="O198" s="645"/>
      <c r="P198" s="645"/>
      <c r="Q198" s="645"/>
      <c r="R198" s="645"/>
      <c r="S198" s="645"/>
      <c r="T198" s="645"/>
      <c r="U198" s="645"/>
      <c r="V198" s="645"/>
      <c r="W198" s="645"/>
      <c r="X198" s="645"/>
      <c r="Y198" s="645"/>
      <c r="Z198" s="645"/>
      <c r="AA198" s="645"/>
      <c r="AB198" s="645"/>
      <c r="AC198" s="645"/>
      <c r="AD198" s="645"/>
      <c r="AE198" s="645"/>
      <c r="AF198" s="645"/>
      <c r="AG198" s="645"/>
      <c r="AH198" s="645"/>
      <c r="AI198" s="645"/>
      <c r="AJ198" s="645"/>
      <c r="AK198" s="645"/>
      <c r="AL198" s="645"/>
      <c r="AM198" s="645"/>
      <c r="AN198" s="645"/>
      <c r="AO198" s="645"/>
      <c r="AP198" s="645"/>
      <c r="AQ198" s="645"/>
      <c r="AR198" s="645"/>
      <c r="AS198" s="645"/>
      <c r="AT198" s="645"/>
      <c r="AU198" s="645"/>
      <c r="AV198" s="645"/>
      <c r="AW198" s="645"/>
      <c r="AX198" s="645"/>
      <c r="AY198" s="645"/>
      <c r="AZ198" s="645"/>
      <c r="BA198" s="645"/>
      <c r="BB198" s="645"/>
      <c r="BC198" s="645"/>
      <c r="BD198" s="645"/>
      <c r="BE198" s="645"/>
      <c r="BF198" s="645"/>
      <c r="BG198" s="645"/>
      <c r="BH198" s="645"/>
      <c r="BI198" s="645"/>
      <c r="BJ198" s="645"/>
      <c r="BK198" s="645"/>
      <c r="BL198" s="645"/>
      <c r="BM198" s="645"/>
      <c r="BN198" s="645"/>
      <c r="BO198" s="645"/>
      <c r="BP198" s="645"/>
      <c r="BQ198" s="645"/>
      <c r="BR198" s="645"/>
      <c r="BS198" s="645"/>
      <c r="BT198" s="645"/>
      <c r="BU198" s="645"/>
      <c r="BV198" s="645"/>
      <c r="BW198" s="645"/>
      <c r="BX198" s="645"/>
      <c r="BY198" s="645"/>
      <c r="BZ198" s="645"/>
      <c r="CA198" s="645"/>
      <c r="CB198" s="645"/>
      <c r="CC198" s="645"/>
      <c r="CD198" s="645"/>
      <c r="CE198" s="645"/>
      <c r="CF198" s="645"/>
      <c r="CG198" s="645"/>
      <c r="CH198" s="645"/>
      <c r="CI198" s="645"/>
      <c r="CJ198" s="645"/>
      <c r="CK198" s="645"/>
      <c r="CL198" s="645"/>
      <c r="CM198" s="645"/>
      <c r="CN198" s="645"/>
      <c r="CO198" s="645"/>
      <c r="CP198" s="645"/>
      <c r="CQ198" s="645"/>
      <c r="CR198" s="645"/>
      <c r="CS198" s="645"/>
      <c r="CT198" s="645"/>
      <c r="CU198" s="645"/>
      <c r="CV198" s="645"/>
      <c r="CW198" s="645"/>
      <c r="CX198" s="645"/>
      <c r="CY198" s="645"/>
      <c r="CZ198" s="645"/>
      <c r="DA198" s="645"/>
      <c r="DB198" s="645"/>
      <c r="DC198" s="645"/>
      <c r="DD198" s="645"/>
      <c r="DE198" s="645"/>
      <c r="DF198" s="645"/>
      <c r="DG198" s="645"/>
      <c r="DH198" s="645"/>
      <c r="DI198" s="645"/>
      <c r="DJ198" s="645"/>
      <c r="DK198" s="645"/>
      <c r="DL198" s="645"/>
      <c r="DM198" s="645"/>
      <c r="DN198" s="645"/>
      <c r="DO198" s="645"/>
      <c r="DP198" s="645"/>
      <c r="DQ198" s="645"/>
      <c r="DR198" s="645"/>
      <c r="DS198" s="645"/>
      <c r="DT198" s="645"/>
      <c r="DU198" s="645"/>
      <c r="DV198" s="645"/>
      <c r="DW198" s="645"/>
      <c r="DX198" s="645"/>
      <c r="DY198" s="645"/>
      <c r="DZ198" s="645"/>
    </row>
    <row r="199" spans="1:130">
      <c r="A199" s="645"/>
      <c r="B199" s="645"/>
      <c r="C199" s="645"/>
      <c r="D199" s="645"/>
      <c r="E199" s="645"/>
      <c r="F199" s="645"/>
      <c r="G199" s="645"/>
      <c r="H199" s="645"/>
      <c r="I199" s="645"/>
      <c r="J199" s="645"/>
      <c r="K199" s="645"/>
      <c r="L199" s="645"/>
      <c r="M199" s="645"/>
      <c r="N199" s="645"/>
      <c r="O199" s="645"/>
      <c r="P199" s="645"/>
      <c r="Q199" s="645"/>
      <c r="R199" s="645"/>
      <c r="S199" s="645"/>
      <c r="T199" s="645"/>
      <c r="U199" s="645"/>
      <c r="V199" s="645"/>
      <c r="W199" s="645"/>
      <c r="X199" s="645"/>
      <c r="Y199" s="645"/>
      <c r="Z199" s="645"/>
      <c r="AA199" s="645"/>
      <c r="AB199" s="645"/>
      <c r="AC199" s="645"/>
      <c r="AD199" s="645"/>
      <c r="AE199" s="645"/>
      <c r="AF199" s="645"/>
      <c r="AG199" s="645"/>
      <c r="AH199" s="645"/>
      <c r="AI199" s="645"/>
      <c r="AJ199" s="645"/>
      <c r="AK199" s="645"/>
      <c r="AL199" s="645"/>
      <c r="AM199" s="645"/>
      <c r="AN199" s="645"/>
      <c r="AO199" s="645"/>
      <c r="AP199" s="645"/>
      <c r="AQ199" s="645"/>
      <c r="AR199" s="645"/>
      <c r="AS199" s="645"/>
      <c r="AT199" s="645"/>
      <c r="AU199" s="645"/>
      <c r="AV199" s="645"/>
      <c r="AW199" s="645"/>
      <c r="AX199" s="645"/>
      <c r="AY199" s="645"/>
      <c r="AZ199" s="645"/>
      <c r="BA199" s="645"/>
      <c r="BB199" s="645"/>
      <c r="BC199" s="645"/>
      <c r="BD199" s="645"/>
      <c r="BE199" s="645"/>
      <c r="BF199" s="645"/>
      <c r="BG199" s="645"/>
      <c r="BH199" s="645"/>
      <c r="BI199" s="645"/>
      <c r="BJ199" s="645"/>
      <c r="BK199" s="645"/>
      <c r="BL199" s="645"/>
      <c r="BM199" s="645"/>
      <c r="BN199" s="645"/>
      <c r="BO199" s="645"/>
      <c r="BP199" s="645"/>
      <c r="BQ199" s="645"/>
      <c r="BR199" s="645"/>
      <c r="BS199" s="645"/>
      <c r="BT199" s="645"/>
      <c r="BU199" s="645"/>
      <c r="BV199" s="645"/>
      <c r="BW199" s="645"/>
      <c r="BX199" s="645"/>
      <c r="BY199" s="645"/>
      <c r="BZ199" s="645"/>
      <c r="CA199" s="645"/>
      <c r="CB199" s="645"/>
      <c r="CC199" s="645"/>
      <c r="CD199" s="645"/>
      <c r="CE199" s="645"/>
      <c r="CF199" s="645"/>
      <c r="CG199" s="645"/>
      <c r="CH199" s="645"/>
      <c r="CI199" s="645"/>
      <c r="CJ199" s="645"/>
      <c r="CK199" s="645"/>
      <c r="CL199" s="645"/>
      <c r="CM199" s="645"/>
      <c r="CN199" s="645"/>
      <c r="CO199" s="645"/>
      <c r="CP199" s="645"/>
      <c r="CQ199" s="645"/>
      <c r="CR199" s="645"/>
      <c r="CS199" s="645"/>
      <c r="CT199" s="645"/>
      <c r="CU199" s="645"/>
      <c r="CV199" s="645"/>
      <c r="CW199" s="645"/>
      <c r="CX199" s="645"/>
      <c r="CY199" s="645"/>
      <c r="CZ199" s="645"/>
      <c r="DA199" s="645"/>
      <c r="DB199" s="645"/>
      <c r="DC199" s="645"/>
      <c r="DD199" s="645"/>
      <c r="DE199" s="645"/>
      <c r="DF199" s="645"/>
      <c r="DG199" s="645"/>
      <c r="DH199" s="645"/>
      <c r="DI199" s="645"/>
      <c r="DJ199" s="645"/>
      <c r="DK199" s="645"/>
      <c r="DL199" s="645"/>
      <c r="DM199" s="645"/>
      <c r="DN199" s="645"/>
      <c r="DO199" s="645"/>
      <c r="DP199" s="645"/>
      <c r="DQ199" s="645"/>
      <c r="DR199" s="645"/>
      <c r="DS199" s="645"/>
      <c r="DT199" s="645"/>
      <c r="DU199" s="645"/>
      <c r="DV199" s="645"/>
      <c r="DW199" s="645"/>
      <c r="DX199" s="645"/>
      <c r="DY199" s="645"/>
      <c r="DZ199" s="645"/>
    </row>
    <row r="200" spans="1:130">
      <c r="A200" s="645"/>
      <c r="B200" s="645"/>
      <c r="C200" s="645"/>
      <c r="D200" s="645"/>
      <c r="E200" s="645"/>
      <c r="F200" s="645"/>
      <c r="G200" s="645"/>
      <c r="H200" s="645"/>
      <c r="I200" s="645"/>
      <c r="J200" s="645"/>
      <c r="K200" s="645"/>
      <c r="L200" s="645"/>
      <c r="M200" s="645"/>
      <c r="N200" s="645"/>
      <c r="O200" s="645"/>
      <c r="P200" s="645"/>
      <c r="Q200" s="645"/>
      <c r="R200" s="645"/>
      <c r="S200" s="645"/>
      <c r="T200" s="645"/>
      <c r="U200" s="645"/>
      <c r="V200" s="645"/>
      <c r="W200" s="645"/>
      <c r="X200" s="645"/>
      <c r="Y200" s="645"/>
      <c r="Z200" s="645"/>
      <c r="AA200" s="645"/>
      <c r="AB200" s="645"/>
      <c r="AC200" s="645"/>
      <c r="AD200" s="645"/>
      <c r="AE200" s="645"/>
      <c r="AF200" s="645"/>
      <c r="AG200" s="645"/>
      <c r="AH200" s="645"/>
      <c r="AI200" s="645"/>
      <c r="AJ200" s="645"/>
      <c r="AK200" s="645"/>
      <c r="AL200" s="645"/>
      <c r="AM200" s="645"/>
      <c r="AN200" s="645"/>
      <c r="AO200" s="645"/>
      <c r="AP200" s="645"/>
      <c r="AQ200" s="645"/>
      <c r="AR200" s="645"/>
      <c r="AS200" s="645"/>
      <c r="AT200" s="645"/>
      <c r="AU200" s="645"/>
      <c r="AV200" s="645"/>
      <c r="AW200" s="645"/>
      <c r="AX200" s="645"/>
      <c r="AY200" s="645"/>
      <c r="AZ200" s="645"/>
      <c r="BA200" s="645"/>
      <c r="BB200" s="645"/>
      <c r="BC200" s="645"/>
      <c r="BD200" s="645"/>
      <c r="BE200" s="645"/>
      <c r="BF200" s="645"/>
      <c r="BG200" s="645"/>
      <c r="BH200" s="645"/>
      <c r="BI200" s="645"/>
      <c r="BJ200" s="645"/>
      <c r="BK200" s="645"/>
      <c r="BL200" s="645"/>
      <c r="BM200" s="645"/>
      <c r="BN200" s="645"/>
      <c r="BO200" s="645"/>
      <c r="BP200" s="645"/>
      <c r="BQ200" s="645"/>
      <c r="BR200" s="645"/>
      <c r="BS200" s="645"/>
      <c r="BT200" s="645"/>
      <c r="BU200" s="645"/>
      <c r="BV200" s="645"/>
      <c r="BW200" s="645"/>
      <c r="BX200" s="645"/>
      <c r="BY200" s="645"/>
      <c r="BZ200" s="645"/>
      <c r="CA200" s="645"/>
      <c r="CB200" s="645"/>
      <c r="CC200" s="645"/>
      <c r="CD200" s="645"/>
      <c r="CE200" s="645"/>
      <c r="CF200" s="645"/>
      <c r="CG200" s="645"/>
      <c r="CH200" s="645"/>
      <c r="CI200" s="645"/>
      <c r="CJ200" s="645"/>
      <c r="CK200" s="645"/>
      <c r="CL200" s="645"/>
      <c r="CM200" s="645"/>
      <c r="CN200" s="645"/>
      <c r="CO200" s="645"/>
      <c r="CP200" s="645"/>
      <c r="CQ200" s="645"/>
      <c r="CR200" s="645"/>
      <c r="CS200" s="645"/>
      <c r="CT200" s="645"/>
      <c r="CU200" s="645"/>
      <c r="CV200" s="645"/>
      <c r="CW200" s="645"/>
      <c r="CX200" s="645"/>
      <c r="CY200" s="645"/>
      <c r="CZ200" s="645"/>
      <c r="DA200" s="645"/>
      <c r="DB200" s="645"/>
      <c r="DC200" s="645"/>
      <c r="DD200" s="645"/>
      <c r="DE200" s="645"/>
      <c r="DF200" s="645"/>
      <c r="DG200" s="645"/>
      <c r="DH200" s="645"/>
      <c r="DI200" s="645"/>
      <c r="DJ200" s="645"/>
      <c r="DK200" s="645"/>
      <c r="DL200" s="645"/>
      <c r="DM200" s="645"/>
      <c r="DN200" s="645"/>
      <c r="DO200" s="645"/>
      <c r="DP200" s="645"/>
      <c r="DQ200" s="645"/>
      <c r="DR200" s="645"/>
      <c r="DS200" s="645"/>
      <c r="DT200" s="645"/>
      <c r="DU200" s="645"/>
      <c r="DV200" s="645"/>
      <c r="DW200" s="645"/>
      <c r="DX200" s="645"/>
      <c r="DY200" s="645"/>
      <c r="DZ200" s="645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2" priority="23" stopIfTrue="1" operator="equal">
      <formula>FALSE</formula>
    </cfRule>
  </conditionalFormatting>
  <conditionalFormatting sqref="I39:L80 I22:L23 I3:L19 I26:L36">
    <cfRule type="expression" dxfId="61" priority="17" stopIfTrue="1">
      <formula>NOT($E3)</formula>
    </cfRule>
  </conditionalFormatting>
  <conditionalFormatting sqref="L3:L19">
    <cfRule type="expression" dxfId="60" priority="18" stopIfTrue="1">
      <formula>ISNUMBER(J3)</formula>
    </cfRule>
    <cfRule type="expression" dxfId="59" priority="22" stopIfTrue="1">
      <formula>ISNUMBER(K3)</formula>
    </cfRule>
  </conditionalFormatting>
  <conditionalFormatting sqref="L22:L23">
    <cfRule type="expression" dxfId="58" priority="16" stopIfTrue="1">
      <formula>ISNUMBER(J22)</formula>
    </cfRule>
    <cfRule type="expression" dxfId="57" priority="21" stopIfTrue="1">
      <formula>ISNUMBER(K22)</formula>
    </cfRule>
  </conditionalFormatting>
  <conditionalFormatting sqref="L26:L36">
    <cfRule type="expression" dxfId="56" priority="15" stopIfTrue="1">
      <formula>ISNUMBER(J26)</formula>
    </cfRule>
    <cfRule type="expression" dxfId="55" priority="20" stopIfTrue="1">
      <formula>ISNUMBER(K26)</formula>
    </cfRule>
  </conditionalFormatting>
  <conditionalFormatting sqref="L39:L80">
    <cfRule type="expression" dxfId="54" priority="14" stopIfTrue="1">
      <formula>ISNUMBER(J39)</formula>
    </cfRule>
    <cfRule type="expression" dxfId="53" priority="19" stopIfTrue="1">
      <formula>ISNUMBER(K39)</formula>
    </cfRule>
  </conditionalFormatting>
  <conditionalFormatting sqref="AP3:AP64">
    <cfRule type="cellIs" dxfId="52" priority="13" stopIfTrue="1" operator="equal">
      <formula>FALSE</formula>
    </cfRule>
  </conditionalFormatting>
  <conditionalFormatting sqref="AT4:AW64">
    <cfRule type="expression" dxfId="51" priority="10" stopIfTrue="1">
      <formula>NOT($AP4)</formula>
    </cfRule>
  </conditionalFormatting>
  <conditionalFormatting sqref="E39:E80">
    <cfRule type="cellIs" dxfId="50" priority="9" stopIfTrue="1" operator="equal">
      <formula>FALSE</formula>
    </cfRule>
  </conditionalFormatting>
  <conditionalFormatting sqref="E26:E36">
    <cfRule type="cellIs" dxfId="49" priority="8" stopIfTrue="1" operator="equal">
      <formula>FALSE</formula>
    </cfRule>
  </conditionalFormatting>
  <conditionalFormatting sqref="E23">
    <cfRule type="cellIs" dxfId="48" priority="7" stopIfTrue="1" operator="equal">
      <formula>FALSE</formula>
    </cfRule>
  </conditionalFormatting>
  <conditionalFormatting sqref="E22">
    <cfRule type="cellIs" dxfId="47" priority="6" stopIfTrue="1" operator="equal">
      <formula>FALSE</formula>
    </cfRule>
  </conditionalFormatting>
  <conditionalFormatting sqref="E3:E17">
    <cfRule type="cellIs" dxfId="46" priority="5" stopIfTrue="1" operator="equal">
      <formula>FALSE</formula>
    </cfRule>
  </conditionalFormatting>
  <conditionalFormatting sqref="E18">
    <cfRule type="cellIs" dxfId="45" priority="4" stopIfTrue="1" operator="equal">
      <formula>FALSE</formula>
    </cfRule>
  </conditionalFormatting>
  <conditionalFormatting sqref="AT3">
    <cfRule type="expression" dxfId="44" priority="3" stopIfTrue="1">
      <formula>NOT($AP3)</formula>
    </cfRule>
  </conditionalFormatting>
  <conditionalFormatting sqref="AW3:AW64">
    <cfRule type="expression" dxfId="43" priority="11" stopIfTrue="1">
      <formula>ISNUMBER(AU3)</formula>
    </cfRule>
    <cfRule type="expression" dxfId="42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86</v>
      </c>
      <c r="B2" s="122">
        <v>35096</v>
      </c>
    </row>
    <row r="3" spans="1:4">
      <c r="A3" s="38" t="s">
        <v>85</v>
      </c>
      <c r="B3" s="122">
        <v>35094</v>
      </c>
      <c r="C3" s="127">
        <v>35448</v>
      </c>
      <c r="D3" s="122">
        <v>35848</v>
      </c>
    </row>
    <row r="4" spans="1:4">
      <c r="A4" s="38" t="s">
        <v>87</v>
      </c>
      <c r="B4" s="122">
        <v>32999</v>
      </c>
    </row>
    <row r="5" spans="1:4">
      <c r="A5" s="38" t="s">
        <v>88</v>
      </c>
      <c r="B5" s="122">
        <v>32111</v>
      </c>
    </row>
    <row r="6" spans="1:4">
      <c r="A6" s="38" t="s">
        <v>92</v>
      </c>
      <c r="B6" s="122">
        <v>32837</v>
      </c>
      <c r="C6" s="122">
        <v>32869</v>
      </c>
      <c r="D6" s="122">
        <v>35700</v>
      </c>
    </row>
    <row r="7" spans="1:4">
      <c r="A7" s="38" t="s">
        <v>89</v>
      </c>
      <c r="B7" s="125" t="s">
        <v>90</v>
      </c>
    </row>
    <row r="8" spans="1:4">
      <c r="A8" s="38" t="s">
        <v>91</v>
      </c>
      <c r="B8" s="122">
        <v>32770</v>
      </c>
    </row>
    <row r="9" spans="1:4">
      <c r="A9" s="38" t="s">
        <v>93</v>
      </c>
      <c r="B9" s="122">
        <v>447761</v>
      </c>
    </row>
    <row r="10" spans="1:4">
      <c r="A10" s="38" t="s">
        <v>94</v>
      </c>
    </row>
    <row r="11" spans="1:4">
      <c r="A11" s="38" t="s">
        <v>95</v>
      </c>
      <c r="B11" s="122">
        <v>35390</v>
      </c>
    </row>
    <row r="12" spans="1:4">
      <c r="A12" s="38" t="s">
        <v>96</v>
      </c>
      <c r="B12" s="122">
        <v>35896</v>
      </c>
    </row>
    <row r="13" spans="1:4">
      <c r="A13" s="38" t="s">
        <v>321</v>
      </c>
    </row>
    <row r="14" spans="1:4">
      <c r="A14" s="38" t="s">
        <v>0</v>
      </c>
      <c r="B14" s="122">
        <v>32946</v>
      </c>
    </row>
    <row r="16" spans="1:4">
      <c r="A16" s="38" t="s">
        <v>358</v>
      </c>
      <c r="B16" s="124">
        <v>35007</v>
      </c>
    </row>
    <row r="17" spans="1:2">
      <c r="A17" s="38" t="s">
        <v>565</v>
      </c>
      <c r="B17">
        <v>3664079480</v>
      </c>
    </row>
    <row r="18" spans="1:2">
      <c r="A18" s="38" t="s">
        <v>359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98</v>
      </c>
      <c r="B21">
        <v>45076</v>
      </c>
    </row>
    <row r="22" spans="1:2">
      <c r="A22" t="s">
        <v>99</v>
      </c>
      <c r="B22">
        <v>32283</v>
      </c>
    </row>
    <row r="23" spans="1:2">
      <c r="A23" t="s">
        <v>335</v>
      </c>
      <c r="B23">
        <v>49113</v>
      </c>
    </row>
    <row r="24" spans="1:2">
      <c r="A24" t="s">
        <v>100</v>
      </c>
      <c r="B24">
        <v>32952</v>
      </c>
    </row>
    <row r="25" spans="1:2">
      <c r="A25" t="s">
        <v>332</v>
      </c>
      <c r="B25">
        <v>35096</v>
      </c>
    </row>
    <row r="26" spans="1:2">
      <c r="A26" t="s">
        <v>333</v>
      </c>
      <c r="B26">
        <v>3355968202</v>
      </c>
    </row>
    <row r="27" spans="1:2">
      <c r="A27" t="s">
        <v>337</v>
      </c>
      <c r="B27">
        <v>49292</v>
      </c>
    </row>
    <row r="28" spans="1:2">
      <c r="A28" t="s">
        <v>338</v>
      </c>
      <c r="B28">
        <v>32021</v>
      </c>
    </row>
    <row r="29" spans="1:2">
      <c r="A29" t="s">
        <v>340</v>
      </c>
      <c r="B29">
        <v>32142</v>
      </c>
    </row>
    <row r="30" spans="1:2">
      <c r="A30" t="s">
        <v>339</v>
      </c>
      <c r="B30">
        <v>49113</v>
      </c>
    </row>
    <row r="31" spans="1:2" ht="14.25" customHeight="1">
      <c r="A31" s="123" t="s">
        <v>336</v>
      </c>
      <c r="B31" s="123">
        <v>36819</v>
      </c>
    </row>
    <row r="34" spans="1:4">
      <c r="A34" t="s">
        <v>341</v>
      </c>
      <c r="B34" s="139" t="s">
        <v>342</v>
      </c>
    </row>
    <row r="35" spans="1:4">
      <c r="A35" t="s">
        <v>326</v>
      </c>
      <c r="B35" s="139" t="s">
        <v>327</v>
      </c>
    </row>
    <row r="37" spans="1:4">
      <c r="A37" s="38"/>
    </row>
    <row r="38" spans="1:4">
      <c r="A38" s="38"/>
    </row>
    <row r="39" spans="1:4" ht="18">
      <c r="A39" s="214" t="s">
        <v>363</v>
      </c>
      <c r="B39" s="215" t="s">
        <v>364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365</v>
      </c>
      <c r="B42" s="215"/>
    </row>
    <row r="43" spans="1:4">
      <c r="A43" s="215"/>
      <c r="B43" s="215"/>
    </row>
    <row r="44" spans="1:4">
      <c r="A44" s="215" t="s">
        <v>366</v>
      </c>
      <c r="B44" s="215" t="s">
        <v>367</v>
      </c>
    </row>
    <row r="45" spans="1:4">
      <c r="A45" s="215"/>
      <c r="B45" s="215"/>
      <c r="D45" s="756" t="s">
        <v>1716</v>
      </c>
    </row>
    <row r="46" spans="1:4">
      <c r="A46" s="755" t="s">
        <v>368</v>
      </c>
      <c r="B46" s="216" t="s">
        <v>369</v>
      </c>
      <c r="D46" s="38" t="s">
        <v>1717</v>
      </c>
    </row>
    <row r="47" spans="1:4">
      <c r="A47" s="755" t="s">
        <v>370</v>
      </c>
      <c r="B47" s="216" t="s">
        <v>371</v>
      </c>
    </row>
    <row r="48" spans="1:4">
      <c r="A48" s="215"/>
      <c r="B48" s="215"/>
    </row>
    <row r="49" spans="1:2">
      <c r="A49" s="38" t="s">
        <v>372</v>
      </c>
      <c r="B49" s="215" t="s">
        <v>373</v>
      </c>
    </row>
    <row r="50" spans="1:2">
      <c r="A50" s="38" t="s">
        <v>374</v>
      </c>
      <c r="B50" s="215" t="s">
        <v>375</v>
      </c>
    </row>
    <row r="51" spans="1:2">
      <c r="A51" s="38" t="s">
        <v>376</v>
      </c>
      <c r="B51" s="215" t="s">
        <v>377</v>
      </c>
    </row>
    <row r="52" spans="1:2">
      <c r="A52" s="38" t="s">
        <v>378</v>
      </c>
      <c r="B52" s="215" t="s">
        <v>379</v>
      </c>
    </row>
    <row r="53" spans="1:2">
      <c r="A53" s="38" t="s">
        <v>380</v>
      </c>
      <c r="B53" s="215" t="s">
        <v>381</v>
      </c>
    </row>
    <row r="54" spans="1:2">
      <c r="A54" s="38" t="s">
        <v>382</v>
      </c>
      <c r="B54" s="215"/>
    </row>
    <row r="55" spans="1:2">
      <c r="A55" s="38" t="s">
        <v>383</v>
      </c>
      <c r="B55" s="215"/>
    </row>
    <row r="56" spans="1:2">
      <c r="A56" s="215"/>
      <c r="B56" s="215"/>
    </row>
    <row r="57" spans="1:2">
      <c r="A57" s="38" t="s">
        <v>384</v>
      </c>
      <c r="B57" s="215" t="s">
        <v>385</v>
      </c>
    </row>
    <row r="58" spans="1:2">
      <c r="A58" s="38" t="s">
        <v>386</v>
      </c>
      <c r="B58" s="215" t="s">
        <v>387</v>
      </c>
    </row>
    <row r="59" spans="1:2">
      <c r="A59" s="38" t="s">
        <v>388</v>
      </c>
      <c r="B59" s="215" t="s">
        <v>387</v>
      </c>
    </row>
    <row r="60" spans="1:2">
      <c r="A60" s="38" t="s">
        <v>389</v>
      </c>
      <c r="B60" s="217" t="s">
        <v>390</v>
      </c>
    </row>
    <row r="61" spans="1:2">
      <c r="A61" s="38" t="s">
        <v>391</v>
      </c>
      <c r="B61" s="217" t="s">
        <v>392</v>
      </c>
    </row>
    <row r="62" spans="1:2">
      <c r="A62" s="38" t="s">
        <v>395</v>
      </c>
      <c r="B62" s="217" t="s">
        <v>393</v>
      </c>
    </row>
    <row r="63" spans="1:2">
      <c r="A63" s="38" t="s">
        <v>396</v>
      </c>
      <c r="B63" s="217" t="s">
        <v>394</v>
      </c>
    </row>
    <row r="64" spans="1:2">
      <c r="A64" s="38" t="s">
        <v>397</v>
      </c>
      <c r="B64" s="217" t="s">
        <v>398</v>
      </c>
    </row>
    <row r="69" spans="1:4">
      <c r="A69" s="730" t="s">
        <v>1647</v>
      </c>
      <c r="B69" s="731"/>
      <c r="C69" s="731"/>
      <c r="D69" s="731"/>
    </row>
    <row r="70" spans="1:4" ht="13.5" thickBot="1">
      <c r="A70" s="731"/>
      <c r="B70" s="730"/>
      <c r="C70" s="730"/>
      <c r="D70" s="731"/>
    </row>
    <row r="71" spans="1:4" ht="13.5" thickBot="1">
      <c r="A71" s="722"/>
      <c r="B71" s="732" t="s">
        <v>1648</v>
      </c>
      <c r="C71" s="734"/>
      <c r="D71" s="721"/>
    </row>
    <row r="72" spans="1:4">
      <c r="A72" s="722"/>
      <c r="B72" s="727" t="s">
        <v>1649</v>
      </c>
      <c r="C72" s="725" t="s">
        <v>1650</v>
      </c>
      <c r="D72" s="721"/>
    </row>
    <row r="73" spans="1:4">
      <c r="A73" s="722"/>
      <c r="B73" s="728" t="s">
        <v>1651</v>
      </c>
      <c r="C73" s="725" t="s">
        <v>1652</v>
      </c>
      <c r="D73" s="721"/>
    </row>
    <row r="74" spans="1:4">
      <c r="A74" s="721"/>
      <c r="B74" s="728" t="s">
        <v>1653</v>
      </c>
      <c r="C74" s="725" t="s">
        <v>1654</v>
      </c>
      <c r="D74" s="721"/>
    </row>
    <row r="75" spans="1:4">
      <c r="A75" s="723"/>
      <c r="B75" s="728" t="s">
        <v>1655</v>
      </c>
      <c r="C75" s="725" t="s">
        <v>1656</v>
      </c>
      <c r="D75" s="721"/>
    </row>
    <row r="76" spans="1:4">
      <c r="A76" s="722"/>
      <c r="B76" s="728" t="s">
        <v>1657</v>
      </c>
      <c r="C76" s="725" t="s">
        <v>1658</v>
      </c>
      <c r="D76" s="721"/>
    </row>
    <row r="77" spans="1:4" ht="13.5" thickBot="1">
      <c r="A77" s="724"/>
      <c r="B77" s="728" t="s">
        <v>1659</v>
      </c>
      <c r="C77" s="725" t="s">
        <v>1660</v>
      </c>
      <c r="D77" s="721"/>
    </row>
    <row r="78" spans="1:4" ht="13.5" thickBot="1">
      <c r="A78" s="724"/>
      <c r="B78" s="732" t="s">
        <v>1661</v>
      </c>
      <c r="C78" s="733"/>
      <c r="D78" s="721"/>
    </row>
    <row r="79" spans="1:4">
      <c r="A79" s="722"/>
      <c r="B79" s="736" t="s">
        <v>1662</v>
      </c>
      <c r="C79" s="737" t="s">
        <v>1663</v>
      </c>
      <c r="D79" s="721"/>
    </row>
    <row r="80" spans="1:4">
      <c r="A80" s="722"/>
      <c r="B80" s="729" t="s">
        <v>1664</v>
      </c>
      <c r="C80" s="726" t="s">
        <v>1665</v>
      </c>
      <c r="D80" s="721"/>
    </row>
    <row r="81" spans="1:4">
      <c r="A81" s="722"/>
      <c r="B81" s="728" t="s">
        <v>1666</v>
      </c>
      <c r="C81" s="725" t="s">
        <v>1667</v>
      </c>
      <c r="D81" s="721"/>
    </row>
    <row r="82" spans="1:4">
      <c r="A82" s="722"/>
      <c r="B82" s="728" t="s">
        <v>1668</v>
      </c>
      <c r="C82" s="725" t="s">
        <v>1669</v>
      </c>
      <c r="D82" s="721"/>
    </row>
    <row r="83" spans="1:4">
      <c r="A83" s="722"/>
      <c r="B83" s="728" t="s">
        <v>1670</v>
      </c>
      <c r="C83" s="725" t="s">
        <v>1671</v>
      </c>
      <c r="D83" s="721"/>
    </row>
    <row r="84" spans="1:4" ht="48">
      <c r="A84" s="722"/>
      <c r="B84" s="735" t="s">
        <v>1672</v>
      </c>
      <c r="C84" s="725" t="s">
        <v>1673</v>
      </c>
      <c r="D84" s="721"/>
    </row>
    <row r="85" spans="1:4" ht="13.5" thickBot="1">
      <c r="A85" s="722"/>
      <c r="B85" s="738" t="s">
        <v>1674</v>
      </c>
      <c r="C85" s="739" t="s">
        <v>1675</v>
      </c>
    </row>
  </sheetData>
  <phoneticPr fontId="33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101</v>
      </c>
      <c r="B1" s="160" t="s">
        <v>102</v>
      </c>
      <c r="C1" s="161" t="s">
        <v>103</v>
      </c>
    </row>
    <row r="2" spans="1:3">
      <c r="A2" s="162" t="s">
        <v>104</v>
      </c>
      <c r="B2" s="163" t="s">
        <v>105</v>
      </c>
      <c r="C2" s="164" t="s">
        <v>106</v>
      </c>
    </row>
    <row r="3" spans="1:3">
      <c r="A3" s="162" t="s">
        <v>107</v>
      </c>
      <c r="B3" s="163" t="s">
        <v>108</v>
      </c>
      <c r="C3" s="164" t="s">
        <v>109</v>
      </c>
    </row>
    <row r="4" spans="1:3">
      <c r="A4" s="162" t="s">
        <v>110</v>
      </c>
      <c r="B4" s="163" t="s">
        <v>111</v>
      </c>
      <c r="C4" s="165" t="s">
        <v>112</v>
      </c>
    </row>
    <row r="5" spans="1:3">
      <c r="A5" s="162" t="s">
        <v>113</v>
      </c>
      <c r="B5" s="163" t="s">
        <v>114</v>
      </c>
      <c r="C5" s="164" t="s">
        <v>115</v>
      </c>
    </row>
    <row r="6" spans="1:3">
      <c r="A6" s="162" t="s">
        <v>116</v>
      </c>
      <c r="B6" s="163" t="s">
        <v>117</v>
      </c>
      <c r="C6" s="164" t="s">
        <v>118</v>
      </c>
    </row>
    <row r="7" spans="1:3">
      <c r="A7" s="162" t="s">
        <v>119</v>
      </c>
      <c r="B7" s="163" t="s">
        <v>120</v>
      </c>
      <c r="C7" s="164" t="s">
        <v>121</v>
      </c>
    </row>
    <row r="8" spans="1:3">
      <c r="A8" s="162" t="s">
        <v>122</v>
      </c>
      <c r="B8" s="163" t="s">
        <v>123</v>
      </c>
      <c r="C8" s="164" t="s">
        <v>124</v>
      </c>
    </row>
    <row r="9" spans="1:3">
      <c r="A9" s="162" t="s">
        <v>125</v>
      </c>
      <c r="B9" s="163" t="s">
        <v>126</v>
      </c>
      <c r="C9" s="165" t="s">
        <v>127</v>
      </c>
    </row>
    <row r="10" spans="1:3">
      <c r="A10" s="162" t="s">
        <v>128</v>
      </c>
      <c r="B10" s="163" t="s">
        <v>129</v>
      </c>
      <c r="C10" s="164" t="s">
        <v>130</v>
      </c>
    </row>
    <row r="11" spans="1:3">
      <c r="A11" s="162" t="s">
        <v>131</v>
      </c>
      <c r="B11" s="163" t="s">
        <v>132</v>
      </c>
      <c r="C11" s="164" t="s">
        <v>133</v>
      </c>
    </row>
    <row r="12" spans="1:3">
      <c r="A12" s="162" t="s">
        <v>134</v>
      </c>
      <c r="B12" s="163" t="s">
        <v>135</v>
      </c>
      <c r="C12" s="165" t="s">
        <v>136</v>
      </c>
    </row>
    <row r="13" spans="1:3">
      <c r="A13" s="162" t="s">
        <v>137</v>
      </c>
      <c r="B13" s="163" t="s">
        <v>138</v>
      </c>
      <c r="C13" s="164" t="s">
        <v>139</v>
      </c>
    </row>
    <row r="14" spans="1:3">
      <c r="A14" s="162" t="s">
        <v>140</v>
      </c>
      <c r="B14" s="163" t="s">
        <v>141</v>
      </c>
      <c r="C14" s="165" t="s">
        <v>142</v>
      </c>
    </row>
    <row r="15" spans="1:3">
      <c r="A15" s="162" t="s">
        <v>143</v>
      </c>
      <c r="B15" s="163" t="s">
        <v>144</v>
      </c>
      <c r="C15" s="164" t="s">
        <v>145</v>
      </c>
    </row>
    <row r="16" spans="1:3">
      <c r="A16" s="162" t="s">
        <v>146</v>
      </c>
      <c r="B16" s="163" t="s">
        <v>147</v>
      </c>
      <c r="C16" s="164" t="s">
        <v>740</v>
      </c>
    </row>
    <row r="17" spans="1:3">
      <c r="A17" s="162" t="s">
        <v>148</v>
      </c>
      <c r="B17" s="163" t="s">
        <v>149</v>
      </c>
      <c r="C17" s="164" t="s">
        <v>150</v>
      </c>
    </row>
    <row r="18" spans="1:3">
      <c r="A18" s="162" t="s">
        <v>151</v>
      </c>
      <c r="B18" s="163" t="s">
        <v>152</v>
      </c>
      <c r="C18" s="164" t="s">
        <v>153</v>
      </c>
    </row>
    <row r="19" spans="1:3">
      <c r="A19" s="162" t="s">
        <v>154</v>
      </c>
      <c r="B19" s="163" t="s">
        <v>155</v>
      </c>
      <c r="C19" s="164" t="s">
        <v>156</v>
      </c>
    </row>
    <row r="20" spans="1:3">
      <c r="A20" s="162" t="s">
        <v>157</v>
      </c>
      <c r="B20" s="163" t="s">
        <v>158</v>
      </c>
      <c r="C20" s="164" t="s">
        <v>159</v>
      </c>
    </row>
    <row r="21" spans="1:3">
      <c r="A21" s="162" t="s">
        <v>160</v>
      </c>
      <c r="B21" s="163" t="s">
        <v>161</v>
      </c>
      <c r="C21" s="164" t="s">
        <v>162</v>
      </c>
    </row>
    <row r="22" spans="1:3">
      <c r="A22" s="162" t="s">
        <v>163</v>
      </c>
      <c r="B22" s="163" t="s">
        <v>164</v>
      </c>
      <c r="C22" s="164" t="s">
        <v>165</v>
      </c>
    </row>
    <row r="23" spans="1:3">
      <c r="A23" s="162" t="s">
        <v>166</v>
      </c>
      <c r="B23" s="163" t="s">
        <v>167</v>
      </c>
      <c r="C23" s="165" t="s">
        <v>168</v>
      </c>
    </row>
    <row r="24" spans="1:3">
      <c r="A24" s="162" t="s">
        <v>169</v>
      </c>
      <c r="B24" s="163" t="s">
        <v>170</v>
      </c>
      <c r="C24" s="164" t="s">
        <v>171</v>
      </c>
    </row>
    <row r="25" spans="1:3">
      <c r="A25" s="162" t="s">
        <v>172</v>
      </c>
      <c r="B25" s="163" t="s">
        <v>173</v>
      </c>
      <c r="C25" s="165" t="s">
        <v>174</v>
      </c>
    </row>
    <row r="26" spans="1:3">
      <c r="A26" s="162" t="s">
        <v>175</v>
      </c>
      <c r="B26" s="163" t="s">
        <v>176</v>
      </c>
      <c r="C26" s="164" t="s">
        <v>177</v>
      </c>
    </row>
    <row r="27" spans="1:3">
      <c r="A27" s="162" t="s">
        <v>178</v>
      </c>
      <c r="B27" s="163" t="s">
        <v>179</v>
      </c>
      <c r="C27" s="165" t="s">
        <v>180</v>
      </c>
    </row>
    <row r="28" spans="1:3">
      <c r="A28" s="162" t="s">
        <v>181</v>
      </c>
      <c r="B28" s="163" t="s">
        <v>182</v>
      </c>
      <c r="C28" s="165" t="s">
        <v>183</v>
      </c>
    </row>
    <row r="29" spans="1:3">
      <c r="A29" s="162" t="s">
        <v>184</v>
      </c>
      <c r="B29" s="163" t="s">
        <v>185</v>
      </c>
      <c r="C29" s="164" t="s">
        <v>186</v>
      </c>
    </row>
    <row r="30" spans="1:3">
      <c r="A30" s="162" t="s">
        <v>187</v>
      </c>
      <c r="B30" s="163" t="s">
        <v>188</v>
      </c>
      <c r="C30" s="164" t="s">
        <v>189</v>
      </c>
    </row>
    <row r="31" spans="1:3">
      <c r="A31" s="162" t="s">
        <v>190</v>
      </c>
      <c r="B31" s="163" t="s">
        <v>191</v>
      </c>
      <c r="C31" s="164" t="s">
        <v>192</v>
      </c>
    </row>
    <row r="32" spans="1:3">
      <c r="A32" s="162" t="s">
        <v>193</v>
      </c>
      <c r="B32" s="163" t="s">
        <v>194</v>
      </c>
      <c r="C32" s="164" t="s">
        <v>195</v>
      </c>
    </row>
    <row r="33" spans="1:3">
      <c r="A33" s="162" t="s">
        <v>196</v>
      </c>
      <c r="B33" s="163" t="s">
        <v>196</v>
      </c>
      <c r="C33" s="164" t="s">
        <v>197</v>
      </c>
    </row>
    <row r="34" spans="1:3">
      <c r="A34" s="162" t="s">
        <v>198</v>
      </c>
      <c r="B34" s="163" t="s">
        <v>199</v>
      </c>
      <c r="C34" s="165" t="s">
        <v>200</v>
      </c>
    </row>
    <row r="35" spans="1:3">
      <c r="A35" s="162" t="s">
        <v>201</v>
      </c>
      <c r="B35" s="163" t="s">
        <v>202</v>
      </c>
      <c r="C35" s="165" t="s">
        <v>203</v>
      </c>
    </row>
    <row r="36" spans="1:3">
      <c r="A36" s="162" t="s">
        <v>204</v>
      </c>
      <c r="B36" s="163" t="s">
        <v>205</v>
      </c>
      <c r="C36" s="164" t="s">
        <v>206</v>
      </c>
    </row>
    <row r="37" spans="1:3">
      <c r="A37" s="162" t="s">
        <v>207</v>
      </c>
      <c r="B37" s="163" t="s">
        <v>208</v>
      </c>
      <c r="C37" s="165" t="s">
        <v>209</v>
      </c>
    </row>
    <row r="38" spans="1:3">
      <c r="A38" s="162" t="s">
        <v>207</v>
      </c>
      <c r="B38" s="163" t="s">
        <v>210</v>
      </c>
      <c r="C38" s="165" t="s">
        <v>211</v>
      </c>
    </row>
    <row r="39" spans="1:3">
      <c r="A39" s="162" t="s">
        <v>212</v>
      </c>
      <c r="B39" s="163" t="s">
        <v>213</v>
      </c>
      <c r="C39" s="164" t="s">
        <v>214</v>
      </c>
    </row>
    <row r="40" spans="1:3">
      <c r="A40" s="162" t="s">
        <v>215</v>
      </c>
      <c r="B40" s="163" t="s">
        <v>216</v>
      </c>
      <c r="C40" s="164" t="s">
        <v>217</v>
      </c>
    </row>
    <row r="41" spans="1:3">
      <c r="A41" s="162" t="s">
        <v>218</v>
      </c>
      <c r="B41" s="163" t="s">
        <v>218</v>
      </c>
      <c r="C41" s="164" t="s">
        <v>219</v>
      </c>
    </row>
    <row r="42" spans="1:3">
      <c r="A42" s="162" t="s">
        <v>220</v>
      </c>
      <c r="B42" s="163" t="s">
        <v>221</v>
      </c>
      <c r="C42" s="164" t="s">
        <v>222</v>
      </c>
    </row>
    <row r="43" spans="1:3">
      <c r="A43" s="162" t="s">
        <v>223</v>
      </c>
      <c r="B43" s="163" t="s">
        <v>224</v>
      </c>
      <c r="C43" s="164" t="s">
        <v>225</v>
      </c>
    </row>
    <row r="44" spans="1:3">
      <c r="A44" s="162" t="s">
        <v>226</v>
      </c>
      <c r="B44" s="163" t="s">
        <v>227</v>
      </c>
      <c r="C44" s="164" t="s">
        <v>228</v>
      </c>
    </row>
    <row r="45" spans="1:3">
      <c r="A45" s="162" t="s">
        <v>229</v>
      </c>
      <c r="B45" s="163" t="s">
        <v>229</v>
      </c>
      <c r="C45" s="165" t="s">
        <v>230</v>
      </c>
    </row>
    <row r="46" spans="1:3">
      <c r="A46" s="162" t="s">
        <v>231</v>
      </c>
      <c r="B46" s="163" t="s">
        <v>232</v>
      </c>
      <c r="C46" s="165" t="s">
        <v>233</v>
      </c>
    </row>
    <row r="47" spans="1:3">
      <c r="A47" s="162" t="s">
        <v>234</v>
      </c>
      <c r="B47" s="163" t="s">
        <v>234</v>
      </c>
      <c r="C47" s="165" t="s">
        <v>235</v>
      </c>
    </row>
    <row r="48" spans="1:3">
      <c r="A48" s="162" t="s">
        <v>236</v>
      </c>
      <c r="B48" s="163" t="s">
        <v>237</v>
      </c>
      <c r="C48" s="164" t="s">
        <v>238</v>
      </c>
    </row>
    <row r="49" spans="1:3">
      <c r="A49" s="162" t="s">
        <v>239</v>
      </c>
      <c r="B49" s="163" t="s">
        <v>240</v>
      </c>
      <c r="C49" s="164" t="s">
        <v>241</v>
      </c>
    </row>
    <row r="50" spans="1:3">
      <c r="A50" s="162" t="s">
        <v>242</v>
      </c>
      <c r="B50" s="163" t="s">
        <v>242</v>
      </c>
      <c r="C50" s="165" t="s">
        <v>243</v>
      </c>
    </row>
    <row r="51" spans="1:3">
      <c r="A51" s="162" t="s">
        <v>244</v>
      </c>
      <c r="B51" s="163" t="s">
        <v>245</v>
      </c>
      <c r="C51" s="164" t="s">
        <v>246</v>
      </c>
    </row>
    <row r="52" spans="1:3">
      <c r="A52" s="162" t="s">
        <v>247</v>
      </c>
      <c r="B52" s="163" t="s">
        <v>248</v>
      </c>
      <c r="C52" s="165" t="s">
        <v>249</v>
      </c>
    </row>
    <row r="53" spans="1:3">
      <c r="A53" s="162" t="s">
        <v>250</v>
      </c>
      <c r="B53" s="163" t="s">
        <v>251</v>
      </c>
      <c r="C53" s="164" t="s">
        <v>252</v>
      </c>
    </row>
    <row r="54" spans="1:3">
      <c r="A54" s="162" t="s">
        <v>253</v>
      </c>
      <c r="B54" s="163" t="s">
        <v>254</v>
      </c>
      <c r="C54" s="165" t="s">
        <v>255</v>
      </c>
    </row>
    <row r="55" spans="1:3">
      <c r="A55" s="162" t="s">
        <v>256</v>
      </c>
      <c r="B55" s="163" t="s">
        <v>257</v>
      </c>
      <c r="C55" s="165" t="s">
        <v>258</v>
      </c>
    </row>
    <row r="56" spans="1:3">
      <c r="A56" s="162" t="s">
        <v>259</v>
      </c>
      <c r="B56" s="163" t="s">
        <v>260</v>
      </c>
      <c r="C56" s="165" t="s">
        <v>261</v>
      </c>
    </row>
    <row r="57" spans="1:3">
      <c r="A57" s="162" t="s">
        <v>262</v>
      </c>
      <c r="B57" s="163" t="s">
        <v>263</v>
      </c>
      <c r="C57" s="164" t="s">
        <v>264</v>
      </c>
    </row>
    <row r="58" spans="1:3">
      <c r="A58" s="162" t="s">
        <v>265</v>
      </c>
      <c r="B58" s="163" t="s">
        <v>266</v>
      </c>
      <c r="C58" s="165" t="s">
        <v>267</v>
      </c>
    </row>
    <row r="59" spans="1:3">
      <c r="A59" s="162" t="s">
        <v>268</v>
      </c>
      <c r="B59" s="163" t="s">
        <v>269</v>
      </c>
      <c r="C59" s="164" t="s">
        <v>270</v>
      </c>
    </row>
    <row r="60" spans="1:3">
      <c r="A60" s="162" t="s">
        <v>271</v>
      </c>
      <c r="B60" s="163" t="s">
        <v>272</v>
      </c>
      <c r="C60" s="165" t="s">
        <v>273</v>
      </c>
    </row>
    <row r="61" spans="1:3">
      <c r="A61" s="162" t="s">
        <v>274</v>
      </c>
      <c r="B61" s="163" t="s">
        <v>275</v>
      </c>
      <c r="C61" s="164" t="s">
        <v>276</v>
      </c>
    </row>
    <row r="62" spans="1:3">
      <c r="A62" s="162" t="s">
        <v>277</v>
      </c>
      <c r="B62" s="163" t="s">
        <v>278</v>
      </c>
      <c r="C62" s="164" t="s">
        <v>279</v>
      </c>
    </row>
    <row r="63" spans="1:3">
      <c r="A63" s="166" t="s">
        <v>280</v>
      </c>
      <c r="B63" s="163" t="s">
        <v>280</v>
      </c>
      <c r="C63" s="164" t="s">
        <v>281</v>
      </c>
    </row>
    <row r="64" spans="1:3">
      <c r="A64" s="166" t="s">
        <v>282</v>
      </c>
      <c r="B64" s="163" t="s">
        <v>282</v>
      </c>
      <c r="C64" s="165" t="s">
        <v>283</v>
      </c>
    </row>
  </sheetData>
  <phoneticPr fontId="33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topLeftCell="A163" zoomScale="70" zoomScaleNormal="70" workbookViewId="0">
      <selection activeCell="G12" sqref="G12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09" customWidth="1"/>
    <col min="8" max="8" width="12.7109375" style="223" customWidth="1"/>
    <col min="9" max="9" width="19.140625" style="245"/>
    <col min="10" max="12" width="19.140625" style="223"/>
    <col min="13" max="13" width="19.140625" style="359"/>
    <col min="14" max="16384" width="19.140625" style="223"/>
  </cols>
  <sheetData>
    <row r="1" spans="1:152" ht="15.75">
      <c r="A1" s="400" t="s">
        <v>560</v>
      </c>
      <c r="B1" s="402" t="s">
        <v>561</v>
      </c>
      <c r="C1" s="401" t="s">
        <v>562</v>
      </c>
      <c r="D1" s="401" t="s">
        <v>27</v>
      </c>
      <c r="E1" s="400" t="s">
        <v>399</v>
      </c>
      <c r="F1" s="401" t="s">
        <v>400</v>
      </c>
      <c r="G1" s="399" t="s">
        <v>401</v>
      </c>
      <c r="H1" s="316" t="s">
        <v>401</v>
      </c>
      <c r="I1" s="243"/>
      <c r="J1" s="257" t="s">
        <v>748</v>
      </c>
      <c r="K1" s="222"/>
      <c r="L1" s="222"/>
      <c r="M1" s="360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923" t="s">
        <v>742</v>
      </c>
      <c r="B2" s="924"/>
      <c r="C2" s="921"/>
      <c r="D2" s="921"/>
      <c r="E2" s="925"/>
      <c r="F2" s="926"/>
      <c r="G2" s="920"/>
      <c r="H2" s="315"/>
      <c r="I2" s="243"/>
      <c r="J2" s="222"/>
      <c r="K2" s="222"/>
      <c r="L2" s="222"/>
      <c r="M2" s="360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957" t="s">
        <v>1774</v>
      </c>
      <c r="B3" s="927">
        <v>43392</v>
      </c>
      <c r="C3" s="920" t="s">
        <v>429</v>
      </c>
      <c r="D3" s="920" t="s">
        <v>600</v>
      </c>
      <c r="E3" s="959">
        <v>0.28799999999999998</v>
      </c>
      <c r="F3" s="928">
        <v>2.88</v>
      </c>
      <c r="G3" s="922" t="s">
        <v>1835</v>
      </c>
      <c r="H3" s="922" t="s">
        <v>1835</v>
      </c>
      <c r="I3" s="256" t="str">
        <f>LEFT(D3,12)</f>
        <v>AT0000A12B06</v>
      </c>
      <c r="J3" s="256" t="str">
        <f>I3</f>
        <v>AT0000A12B06</v>
      </c>
      <c r="K3" s="314" t="str">
        <f>LEFT(H3,6)</f>
        <v>FGBSM8</v>
      </c>
      <c r="L3" s="314" t="str">
        <f>K3</f>
        <v>FGBSM8</v>
      </c>
      <c r="M3" s="360" t="s">
        <v>1835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957" t="s">
        <v>1775</v>
      </c>
      <c r="B4" s="927">
        <v>43539</v>
      </c>
      <c r="C4" s="920" t="s">
        <v>430</v>
      </c>
      <c r="D4" s="920" t="s">
        <v>601</v>
      </c>
      <c r="E4" s="959">
        <v>0.48399999999999999</v>
      </c>
      <c r="F4" s="928">
        <v>4.84</v>
      </c>
      <c r="G4" s="922" t="s">
        <v>1835</v>
      </c>
      <c r="H4" s="922" t="s">
        <v>1835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4" t="str">
        <f t="shared" ref="K4:K67" si="2">LEFT(H4,6)</f>
        <v>FGBSM8</v>
      </c>
      <c r="L4" s="314" t="str">
        <f t="shared" ref="L4:L67" si="3">K4</f>
        <v>FGBSM8</v>
      </c>
      <c r="M4" s="360" t="s">
        <v>1835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957" t="s">
        <v>1776</v>
      </c>
      <c r="B5" s="927">
        <v>43634</v>
      </c>
      <c r="C5" s="920" t="s">
        <v>431</v>
      </c>
      <c r="D5" s="920" t="s">
        <v>602</v>
      </c>
      <c r="E5" s="959">
        <v>0.59099999999999997</v>
      </c>
      <c r="F5" s="928">
        <v>5.91</v>
      </c>
      <c r="G5" s="922" t="s">
        <v>1835</v>
      </c>
      <c r="H5" s="922" t="s">
        <v>1835</v>
      </c>
      <c r="I5" s="256" t="str">
        <f>LEFT(D5,12)</f>
        <v>AT0000A0VRF9</v>
      </c>
      <c r="J5" s="256" t="str">
        <f>I5</f>
        <v>AT0000A0VRF9</v>
      </c>
      <c r="K5" s="314" t="str">
        <f>LEFT(H5,6)</f>
        <v>FGBSM8</v>
      </c>
      <c r="L5" s="314" t="str">
        <f>K5</f>
        <v>FGBSM8</v>
      </c>
      <c r="M5" s="360" t="s">
        <v>1835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957" t="s">
        <v>1777</v>
      </c>
      <c r="B6" s="927">
        <v>43756</v>
      </c>
      <c r="C6" s="929" t="s">
        <v>432</v>
      </c>
      <c r="D6" s="929" t="s">
        <v>402</v>
      </c>
      <c r="E6" s="959">
        <v>0.72799999999999998</v>
      </c>
      <c r="F6" s="928">
        <v>7.2799999999999994</v>
      </c>
      <c r="G6" s="922" t="s">
        <v>1835</v>
      </c>
      <c r="H6" s="922" t="s">
        <v>1835</v>
      </c>
      <c r="I6" s="256" t="str">
        <f t="shared" si="0"/>
        <v>AT0000A19XC3</v>
      </c>
      <c r="J6" s="256" t="str">
        <f t="shared" si="1"/>
        <v>AT0000A19XC3</v>
      </c>
      <c r="K6" s="314" t="str">
        <f t="shared" si="2"/>
        <v>FGBSM8</v>
      </c>
      <c r="L6" s="314" t="str">
        <f t="shared" si="3"/>
        <v>FGBSM8</v>
      </c>
      <c r="M6" s="360" t="s">
        <v>1835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957" t="s">
        <v>1778</v>
      </c>
      <c r="B7" s="927">
        <v>44027</v>
      </c>
      <c r="C7" s="920" t="s">
        <v>308</v>
      </c>
      <c r="D7" s="920" t="s">
        <v>603</v>
      </c>
      <c r="E7" s="959">
        <v>1.1200000000000001</v>
      </c>
      <c r="F7" s="928">
        <v>11.200000000000001</v>
      </c>
      <c r="G7" s="922" t="s">
        <v>1835</v>
      </c>
      <c r="H7" s="922" t="s">
        <v>1835</v>
      </c>
      <c r="I7" s="256" t="str">
        <f t="shared" si="0"/>
        <v>AT0000386115</v>
      </c>
      <c r="J7" s="256" t="str">
        <f t="shared" si="1"/>
        <v>AT0000386115</v>
      </c>
      <c r="K7" s="314" t="str">
        <f t="shared" si="2"/>
        <v>FGBSM8</v>
      </c>
      <c r="L7" s="314" t="str">
        <f t="shared" si="3"/>
        <v>FGBSM8</v>
      </c>
      <c r="M7" s="360" t="s">
        <v>1835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957" t="s">
        <v>1779</v>
      </c>
      <c r="B8" s="927">
        <v>44454</v>
      </c>
      <c r="C8" s="920" t="s">
        <v>309</v>
      </c>
      <c r="D8" s="920" t="s">
        <v>604</v>
      </c>
      <c r="E8" s="962">
        <v>0.61299999999999999</v>
      </c>
      <c r="F8" s="928">
        <v>6.13</v>
      </c>
      <c r="G8" s="922" t="s">
        <v>1807</v>
      </c>
      <c r="H8" s="922" t="s">
        <v>1807</v>
      </c>
      <c r="I8" s="256" t="str">
        <f t="shared" si="0"/>
        <v>AT0000A001X2</v>
      </c>
      <c r="J8" s="256" t="str">
        <f t="shared" si="1"/>
        <v>AT0000A001X2</v>
      </c>
      <c r="K8" s="314" t="str">
        <f t="shared" si="2"/>
        <v>FGBMM8</v>
      </c>
      <c r="L8" s="314" t="str">
        <f t="shared" si="3"/>
        <v>FGBMM8</v>
      </c>
      <c r="M8" s="360" t="s">
        <v>1807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957" t="s">
        <v>1780</v>
      </c>
      <c r="B9" s="927">
        <v>44671</v>
      </c>
      <c r="C9" s="920" t="s">
        <v>433</v>
      </c>
      <c r="D9" s="920" t="s">
        <v>605</v>
      </c>
      <c r="E9" s="962">
        <v>0.72</v>
      </c>
      <c r="F9" s="928">
        <v>7.1999999999999993</v>
      </c>
      <c r="G9" s="922" t="s">
        <v>1807</v>
      </c>
      <c r="H9" s="922" t="s">
        <v>1807</v>
      </c>
      <c r="I9" s="256" t="str">
        <f t="shared" si="0"/>
        <v>AT0000A0N9A0</v>
      </c>
      <c r="J9" s="256" t="str">
        <f t="shared" si="1"/>
        <v>AT0000A0N9A0</v>
      </c>
      <c r="K9" s="314" t="str">
        <f t="shared" si="2"/>
        <v>FGBMM8</v>
      </c>
      <c r="L9" s="314" t="str">
        <f t="shared" si="3"/>
        <v>FGBMM8</v>
      </c>
      <c r="M9" s="360" t="s">
        <v>1807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957" t="s">
        <v>1781</v>
      </c>
      <c r="B10" s="927">
        <v>44824</v>
      </c>
      <c r="C10" s="935" t="s">
        <v>1681</v>
      </c>
      <c r="D10" s="920" t="s">
        <v>1696</v>
      </c>
      <c r="E10" s="962">
        <v>0.72099999999999997</v>
      </c>
      <c r="F10" s="928">
        <v>7.21</v>
      </c>
      <c r="G10" s="922" t="s">
        <v>1807</v>
      </c>
      <c r="H10" s="922" t="s">
        <v>1807</v>
      </c>
      <c r="I10" s="256" t="str">
        <f t="shared" si="0"/>
        <v>AT0000A1XM92</v>
      </c>
      <c r="J10" s="256" t="str">
        <f t="shared" si="1"/>
        <v>AT0000A1XM92</v>
      </c>
      <c r="K10" s="314" t="str">
        <f t="shared" si="2"/>
        <v>FGBMM8</v>
      </c>
      <c r="L10" s="314" t="str">
        <f t="shared" si="3"/>
        <v>FGBMM8</v>
      </c>
      <c r="M10" s="360" t="s">
        <v>1807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957" t="s">
        <v>1782</v>
      </c>
      <c r="B11" s="927">
        <v>44887</v>
      </c>
      <c r="C11" s="920" t="s">
        <v>434</v>
      </c>
      <c r="D11" s="920" t="s">
        <v>606</v>
      </c>
      <c r="E11" s="962">
        <v>0.82099999999999995</v>
      </c>
      <c r="F11" s="928">
        <v>8.2099999999999991</v>
      </c>
      <c r="G11" s="922" t="s">
        <v>1807</v>
      </c>
      <c r="H11" s="922" t="s">
        <v>1807</v>
      </c>
      <c r="I11" s="256" t="str">
        <f t="shared" si="0"/>
        <v>AT0000A0U3T4</v>
      </c>
      <c r="J11" s="256" t="str">
        <f t="shared" si="1"/>
        <v>AT0000A0U3T4</v>
      </c>
      <c r="K11" s="314" t="str">
        <f t="shared" si="2"/>
        <v>FGBMM8</v>
      </c>
      <c r="L11" s="314" t="str">
        <f t="shared" si="3"/>
        <v>FGBMM8</v>
      </c>
      <c r="M11" s="360" t="s">
        <v>1807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957" t="s">
        <v>1783</v>
      </c>
      <c r="B12" s="927">
        <v>45122</v>
      </c>
      <c r="C12" s="935" t="s">
        <v>960</v>
      </c>
      <c r="D12" s="930" t="s">
        <v>884</v>
      </c>
      <c r="E12" s="961">
        <v>0.83799999999999997</v>
      </c>
      <c r="F12" s="928">
        <v>8.379999999999999</v>
      </c>
      <c r="G12" s="922" t="s">
        <v>1807</v>
      </c>
      <c r="H12" s="922" t="s">
        <v>1807</v>
      </c>
      <c r="I12" s="256" t="str">
        <f t="shared" si="0"/>
        <v>AT0000A1PE50</v>
      </c>
      <c r="J12" s="256" t="str">
        <f t="shared" si="1"/>
        <v>AT0000A1PE50</v>
      </c>
      <c r="K12" s="314" t="str">
        <f t="shared" si="2"/>
        <v>FGBMM8</v>
      </c>
      <c r="L12" s="314" t="str">
        <f t="shared" si="3"/>
        <v>FGBMM8</v>
      </c>
      <c r="M12" s="360" t="s">
        <v>1807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957" t="s">
        <v>1784</v>
      </c>
      <c r="B13" s="927">
        <v>45219</v>
      </c>
      <c r="C13" s="920" t="s">
        <v>435</v>
      </c>
      <c r="D13" s="920" t="s">
        <v>607</v>
      </c>
      <c r="E13" s="960">
        <v>0.93</v>
      </c>
      <c r="F13" s="928">
        <v>9.3000000000000007</v>
      </c>
      <c r="G13" s="922" t="s">
        <v>1807</v>
      </c>
      <c r="H13" s="922" t="s">
        <v>1807</v>
      </c>
      <c r="I13" s="256" t="str">
        <f t="shared" si="0"/>
        <v>AT0000A105W3</v>
      </c>
      <c r="J13" s="256" t="str">
        <f t="shared" si="1"/>
        <v>AT0000A105W3</v>
      </c>
      <c r="K13" s="314" t="str">
        <f t="shared" si="2"/>
        <v>FGBMM8</v>
      </c>
      <c r="L13" s="314" t="str">
        <f t="shared" si="3"/>
        <v>FGBMM8</v>
      </c>
      <c r="M13" s="360" t="s">
        <v>1807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957" t="s">
        <v>1785</v>
      </c>
      <c r="B14" s="927">
        <v>45586</v>
      </c>
      <c r="C14" s="920" t="s">
        <v>436</v>
      </c>
      <c r="D14" s="931" t="s">
        <v>403</v>
      </c>
      <c r="E14" s="960">
        <v>1.083</v>
      </c>
      <c r="F14" s="928">
        <v>10.83</v>
      </c>
      <c r="G14" s="922" t="s">
        <v>1807</v>
      </c>
      <c r="H14" s="922" t="s">
        <v>1807</v>
      </c>
      <c r="I14" s="256" t="str">
        <f t="shared" si="0"/>
        <v>AT0000A185T1</v>
      </c>
      <c r="J14" s="256" t="str">
        <f t="shared" si="1"/>
        <v>AT0000A185T1</v>
      </c>
      <c r="K14" s="314" t="str">
        <f t="shared" si="2"/>
        <v>FGBMM8</v>
      </c>
      <c r="L14" s="314" t="str">
        <f t="shared" si="3"/>
        <v>FGBMM8</v>
      </c>
      <c r="M14" s="360" t="s">
        <v>1807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957" t="s">
        <v>1786</v>
      </c>
      <c r="B15" s="927">
        <v>45950</v>
      </c>
      <c r="C15" s="920" t="s">
        <v>743</v>
      </c>
      <c r="D15" s="929" t="s">
        <v>744</v>
      </c>
      <c r="E15" s="963">
        <v>0.55500000000000005</v>
      </c>
      <c r="F15" s="928">
        <v>5.5500000000000007</v>
      </c>
      <c r="G15" s="922" t="s">
        <v>1827</v>
      </c>
      <c r="H15" s="922" t="s">
        <v>1827</v>
      </c>
      <c r="I15" s="256" t="str">
        <f t="shared" si="0"/>
        <v>AT0000A1FAP5</v>
      </c>
      <c r="J15" s="256" t="str">
        <f t="shared" si="1"/>
        <v>AT0000A1FAP5</v>
      </c>
      <c r="K15" s="314" t="str">
        <f t="shared" si="2"/>
        <v>FGBLM8</v>
      </c>
      <c r="L15" s="314" t="str">
        <f t="shared" si="3"/>
        <v>FGBLM8</v>
      </c>
      <c r="M15" s="360" t="s">
        <v>1827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957" t="s">
        <v>1787</v>
      </c>
      <c r="B16" s="927">
        <v>46096</v>
      </c>
      <c r="C16" s="920" t="s">
        <v>437</v>
      </c>
      <c r="D16" s="920" t="s">
        <v>608</v>
      </c>
      <c r="E16" s="963">
        <v>0.67900000000000005</v>
      </c>
      <c r="F16" s="928">
        <v>6.7900000000000009</v>
      </c>
      <c r="G16" s="922" t="s">
        <v>1827</v>
      </c>
      <c r="H16" s="922" t="s">
        <v>1827</v>
      </c>
      <c r="I16" s="256" t="str">
        <f t="shared" si="0"/>
        <v>AT0000A0DXC2</v>
      </c>
      <c r="J16" s="256" t="str">
        <f t="shared" si="1"/>
        <v>AT0000A0DXC2</v>
      </c>
      <c r="K16" s="314" t="str">
        <f t="shared" si="2"/>
        <v>FGBLM8</v>
      </c>
      <c r="L16" s="314" t="str">
        <f t="shared" si="3"/>
        <v>FGBLM8</v>
      </c>
      <c r="M16" s="360" t="s">
        <v>1827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957" t="s">
        <v>1788</v>
      </c>
      <c r="B17" s="927">
        <v>46315</v>
      </c>
      <c r="C17" s="929" t="s">
        <v>784</v>
      </c>
      <c r="D17" s="929" t="s">
        <v>785</v>
      </c>
      <c r="E17" s="963">
        <v>0.60499999999999998</v>
      </c>
      <c r="F17" s="928">
        <v>6.05</v>
      </c>
      <c r="G17" s="922" t="s">
        <v>1827</v>
      </c>
      <c r="H17" s="922" t="s">
        <v>1827</v>
      </c>
      <c r="I17" s="256" t="str">
        <f t="shared" si="0"/>
        <v>AT0000A1K9C8</v>
      </c>
      <c r="J17" s="256" t="str">
        <f t="shared" si="1"/>
        <v>AT0000A1K9C8</v>
      </c>
      <c r="K17" s="314" t="str">
        <f t="shared" si="2"/>
        <v>FGBLM8</v>
      </c>
      <c r="L17" s="314" t="str">
        <f t="shared" si="3"/>
        <v>FGBLM8</v>
      </c>
      <c r="M17" s="360" t="s">
        <v>1827</v>
      </c>
    </row>
    <row r="18" spans="1:13" ht="16.5" thickBot="1">
      <c r="A18" s="957" t="s">
        <v>1789</v>
      </c>
      <c r="B18" s="927">
        <v>46497</v>
      </c>
      <c r="C18" s="935" t="s">
        <v>961</v>
      </c>
      <c r="D18" s="950" t="s">
        <v>977</v>
      </c>
      <c r="E18" s="963">
        <v>0.626</v>
      </c>
      <c r="F18" s="928">
        <v>6.26</v>
      </c>
      <c r="G18" s="922" t="s">
        <v>1827</v>
      </c>
      <c r="H18" s="922" t="s">
        <v>1827</v>
      </c>
      <c r="I18" s="256" t="str">
        <f t="shared" si="0"/>
        <v>AT0000A1VGK0</v>
      </c>
      <c r="J18" s="256" t="str">
        <f t="shared" si="1"/>
        <v>AT0000A1VGK0</v>
      </c>
      <c r="K18" s="314" t="str">
        <f t="shared" si="2"/>
        <v>FGBLM8</v>
      </c>
      <c r="L18" s="314" t="str">
        <f t="shared" si="3"/>
        <v>FGBLM8</v>
      </c>
      <c r="M18" s="360" t="s">
        <v>1827</v>
      </c>
    </row>
    <row r="19" spans="1:13" ht="16.5" thickBot="1">
      <c r="A19" s="957" t="s">
        <v>1790</v>
      </c>
      <c r="B19" s="927">
        <v>46583</v>
      </c>
      <c r="C19" s="920" t="s">
        <v>310</v>
      </c>
      <c r="D19" s="920" t="s">
        <v>609</v>
      </c>
      <c r="E19" s="963">
        <v>0.84</v>
      </c>
      <c r="F19" s="928">
        <v>8.4</v>
      </c>
      <c r="G19" s="922" t="s">
        <v>1827</v>
      </c>
      <c r="H19" s="922" t="s">
        <v>1827</v>
      </c>
      <c r="I19" s="256" t="str">
        <f t="shared" si="0"/>
        <v>AT0000383864</v>
      </c>
      <c r="J19" s="256" t="str">
        <f t="shared" si="1"/>
        <v>AT0000383864</v>
      </c>
      <c r="K19" s="314" t="str">
        <f t="shared" si="2"/>
        <v>FGBLM8</v>
      </c>
      <c r="L19" s="314" t="str">
        <f t="shared" si="3"/>
        <v>FGBLM8</v>
      </c>
      <c r="M19" s="360" t="s">
        <v>1827</v>
      </c>
    </row>
    <row r="20" spans="1:13" ht="16.5" thickBot="1">
      <c r="A20" s="957" t="s">
        <v>1791</v>
      </c>
      <c r="B20" s="927">
        <v>46803</v>
      </c>
      <c r="C20" s="935" t="s">
        <v>1792</v>
      </c>
      <c r="D20" s="935" t="s">
        <v>1793</v>
      </c>
      <c r="E20" s="963">
        <v>0.68100000000000005</v>
      </c>
      <c r="F20" s="928">
        <v>6.8100000000000005</v>
      </c>
      <c r="G20" s="922" t="s">
        <v>1827</v>
      </c>
      <c r="H20" s="922" t="s">
        <v>1827</v>
      </c>
      <c r="I20" s="256" t="str">
        <f t="shared" si="0"/>
        <v>AT0000A1ZGE4</v>
      </c>
      <c r="J20" s="256" t="str">
        <f t="shared" si="1"/>
        <v>AT0000A1ZGE4</v>
      </c>
      <c r="K20" s="314" t="str">
        <f t="shared" si="2"/>
        <v>FGBLM8</v>
      </c>
      <c r="L20" s="314" t="str">
        <f t="shared" si="3"/>
        <v>FGBLM8</v>
      </c>
      <c r="M20" s="360" t="s">
        <v>1827</v>
      </c>
    </row>
    <row r="21" spans="1:13" ht="16.5" thickBot="1">
      <c r="A21" s="957" t="s">
        <v>1794</v>
      </c>
      <c r="B21" s="927">
        <v>49087</v>
      </c>
      <c r="C21" s="920" t="s">
        <v>438</v>
      </c>
      <c r="D21" s="920" t="s">
        <v>610</v>
      </c>
      <c r="E21" s="963">
        <v>1.157</v>
      </c>
      <c r="F21" s="928">
        <v>11.57</v>
      </c>
      <c r="G21" s="922" t="s">
        <v>1827</v>
      </c>
      <c r="H21" s="922" t="s">
        <v>1827</v>
      </c>
      <c r="I21" s="256" t="str">
        <f t="shared" si="0"/>
        <v>AT0000A10683</v>
      </c>
      <c r="J21" s="256" t="str">
        <f t="shared" si="1"/>
        <v>AT0000A10683</v>
      </c>
      <c r="K21" s="314" t="str">
        <f t="shared" si="2"/>
        <v>FGBLM8</v>
      </c>
      <c r="L21" s="314" t="str">
        <f t="shared" si="3"/>
        <v>FGBLM8</v>
      </c>
      <c r="M21" s="360" t="s">
        <v>1827</v>
      </c>
    </row>
    <row r="22" spans="1:13" ht="16.5" thickBot="1">
      <c r="A22" s="957" t="s">
        <v>1795</v>
      </c>
      <c r="B22" s="927">
        <v>50114</v>
      </c>
      <c r="C22" s="920" t="s">
        <v>439</v>
      </c>
      <c r="D22" s="920" t="s">
        <v>611</v>
      </c>
      <c r="E22" s="963">
        <v>1.5469999999999999</v>
      </c>
      <c r="F22" s="928">
        <v>15.469999999999999</v>
      </c>
      <c r="G22" s="922" t="s">
        <v>1827</v>
      </c>
      <c r="H22" s="922" t="s">
        <v>1827</v>
      </c>
      <c r="I22" s="256" t="str">
        <f t="shared" si="0"/>
        <v>AT0000A04967</v>
      </c>
      <c r="J22" s="256" t="str">
        <f t="shared" si="1"/>
        <v>AT0000A04967</v>
      </c>
      <c r="K22" s="314" t="str">
        <f t="shared" si="2"/>
        <v>FGBLM8</v>
      </c>
      <c r="L22" s="314" t="str">
        <f t="shared" si="3"/>
        <v>FGBLM8</v>
      </c>
      <c r="M22" s="360" t="s">
        <v>1827</v>
      </c>
    </row>
    <row r="23" spans="1:13" ht="16.5" thickBot="1">
      <c r="A23" s="957" t="s">
        <v>1796</v>
      </c>
      <c r="B23" s="927">
        <v>52768</v>
      </c>
      <c r="C23" s="920" t="s">
        <v>440</v>
      </c>
      <c r="D23" s="920" t="s">
        <v>612</v>
      </c>
      <c r="E23" s="963">
        <v>1.911</v>
      </c>
      <c r="F23" s="928">
        <v>19.11</v>
      </c>
      <c r="G23" s="922" t="s">
        <v>1827</v>
      </c>
      <c r="H23" s="922" t="s">
        <v>1827</v>
      </c>
      <c r="I23" s="256" t="str">
        <f t="shared" si="0"/>
        <v>AT0000A0VRQ6</v>
      </c>
      <c r="J23" s="256" t="str">
        <f t="shared" si="1"/>
        <v>AT0000A0VRQ6</v>
      </c>
      <c r="K23" s="314" t="str">
        <f t="shared" si="2"/>
        <v>FGBLM8</v>
      </c>
      <c r="L23" s="314" t="str">
        <f t="shared" si="3"/>
        <v>FGBLM8</v>
      </c>
      <c r="M23" s="360" t="s">
        <v>1827</v>
      </c>
    </row>
    <row r="24" spans="1:13" ht="16.5" thickBot="1">
      <c r="A24" s="957" t="s">
        <v>1797</v>
      </c>
      <c r="B24" s="927">
        <v>53743</v>
      </c>
      <c r="C24" s="929" t="s">
        <v>786</v>
      </c>
      <c r="D24" s="920" t="s">
        <v>787</v>
      </c>
      <c r="E24" s="963">
        <v>1.6579999999999999</v>
      </c>
      <c r="F24" s="928">
        <v>16.579999999999998</v>
      </c>
      <c r="G24" s="922" t="s">
        <v>1827</v>
      </c>
      <c r="H24" s="922" t="s">
        <v>1827</v>
      </c>
      <c r="I24" s="256" t="str">
        <f t="shared" si="0"/>
        <v>AT0000A1K9F1</v>
      </c>
      <c r="J24" s="256" t="str">
        <f t="shared" si="1"/>
        <v>AT0000A1K9F1</v>
      </c>
      <c r="K24" s="314" t="str">
        <f t="shared" si="2"/>
        <v>FGBLM8</v>
      </c>
      <c r="L24" s="314" t="str">
        <f t="shared" si="3"/>
        <v>FGBLM8</v>
      </c>
      <c r="M24" s="360" t="s">
        <v>1827</v>
      </c>
    </row>
    <row r="25" spans="1:13" ht="16.5" thickBot="1">
      <c r="A25" s="957" t="s">
        <v>1798</v>
      </c>
      <c r="B25" s="927">
        <v>59197</v>
      </c>
      <c r="C25" s="920" t="s">
        <v>441</v>
      </c>
      <c r="D25" s="920" t="s">
        <v>613</v>
      </c>
      <c r="E25" s="963">
        <v>3.1680000000000001</v>
      </c>
      <c r="F25" s="928">
        <v>31.68</v>
      </c>
      <c r="G25" s="922" t="s">
        <v>1827</v>
      </c>
      <c r="H25" s="922" t="s">
        <v>1827</v>
      </c>
      <c r="I25" s="256" t="str">
        <f t="shared" si="0"/>
        <v>AT0000A0U299</v>
      </c>
      <c r="J25" s="256" t="str">
        <f t="shared" si="1"/>
        <v>AT0000A0U299</v>
      </c>
      <c r="K25" s="314" t="str">
        <f t="shared" si="2"/>
        <v>FGBLM8</v>
      </c>
      <c r="L25" s="314" t="str">
        <f t="shared" si="3"/>
        <v>FGBLM8</v>
      </c>
      <c r="M25" s="360" t="s">
        <v>1827</v>
      </c>
    </row>
    <row r="26" spans="1:13" ht="16.5" thickBot="1">
      <c r="A26" s="957" t="s">
        <v>1799</v>
      </c>
      <c r="B26" s="927">
        <v>68243</v>
      </c>
      <c r="C26" s="930" t="s">
        <v>907</v>
      </c>
      <c r="D26" s="930" t="s">
        <v>885</v>
      </c>
      <c r="E26" s="963">
        <v>2.5409999999999999</v>
      </c>
      <c r="F26" s="928">
        <v>25.41</v>
      </c>
      <c r="G26" s="922" t="s">
        <v>1827</v>
      </c>
      <c r="H26" s="922" t="s">
        <v>1827</v>
      </c>
      <c r="I26" s="256" t="str">
        <f t="shared" si="0"/>
        <v>AT0000A1PEF7</v>
      </c>
      <c r="J26" s="256" t="str">
        <f t="shared" si="1"/>
        <v>AT0000A1PEF7</v>
      </c>
      <c r="K26" s="314" t="str">
        <f t="shared" si="2"/>
        <v>FGBLM8</v>
      </c>
      <c r="L26" s="314" t="str">
        <f t="shared" si="3"/>
        <v>FGBLM8</v>
      </c>
      <c r="M26" s="360" t="s">
        <v>1827</v>
      </c>
    </row>
    <row r="27" spans="1:13" ht="15.75">
      <c r="A27" s="957" t="s">
        <v>1800</v>
      </c>
      <c r="B27" s="927">
        <v>79522</v>
      </c>
      <c r="C27" s="935" t="s">
        <v>1682</v>
      </c>
      <c r="D27" s="930" t="s">
        <v>1683</v>
      </c>
      <c r="E27" s="958">
        <v>3.1760000000000002</v>
      </c>
      <c r="F27" s="928">
        <v>31.76</v>
      </c>
      <c r="G27" s="922" t="s">
        <v>1827</v>
      </c>
      <c r="H27" s="922" t="s">
        <v>1827</v>
      </c>
      <c r="I27" s="256" t="str">
        <f t="shared" si="0"/>
        <v>AT0000A1XML2</v>
      </c>
      <c r="J27" s="256" t="str">
        <f t="shared" si="1"/>
        <v>AT0000A1XML2</v>
      </c>
      <c r="K27" s="314" t="str">
        <f t="shared" si="2"/>
        <v>FGBLM8</v>
      </c>
      <c r="L27" s="314" t="str">
        <f t="shared" si="3"/>
        <v>FGBLM8</v>
      </c>
      <c r="M27" s="360" t="s">
        <v>1827</v>
      </c>
    </row>
    <row r="28" spans="1:13" ht="16.5" thickBot="1">
      <c r="A28" s="932" t="s">
        <v>1801</v>
      </c>
      <c r="B28" s="927"/>
      <c r="C28" s="920"/>
      <c r="D28" s="920" t="s">
        <v>599</v>
      </c>
      <c r="E28" s="933"/>
      <c r="F28" s="928"/>
      <c r="G28" s="920" t="s">
        <v>599</v>
      </c>
      <c r="H28" s="920" t="s">
        <v>599</v>
      </c>
      <c r="I28" s="256" t="str">
        <f t="shared" si="0"/>
        <v/>
      </c>
      <c r="J28" s="256" t="str">
        <f t="shared" si="1"/>
        <v/>
      </c>
      <c r="K28" s="314" t="str">
        <f t="shared" si="2"/>
        <v/>
      </c>
      <c r="L28" s="314" t="str">
        <f t="shared" si="3"/>
        <v/>
      </c>
      <c r="M28" s="360" t="s">
        <v>599</v>
      </c>
    </row>
    <row r="29" spans="1:13" ht="16.5" thickBot="1">
      <c r="A29" s="957" t="s">
        <v>1802</v>
      </c>
      <c r="B29" s="934">
        <v>43552</v>
      </c>
      <c r="C29" s="922" t="s">
        <v>442</v>
      </c>
      <c r="D29" s="922" t="s">
        <v>614</v>
      </c>
      <c r="E29" s="964">
        <v>0.499</v>
      </c>
      <c r="F29" s="928">
        <v>4.99</v>
      </c>
      <c r="G29" s="922" t="s">
        <v>1835</v>
      </c>
      <c r="H29" s="922" t="s">
        <v>1835</v>
      </c>
      <c r="I29" s="256" t="str">
        <f t="shared" si="0"/>
        <v>BE0000315243</v>
      </c>
      <c r="J29" s="256" t="str">
        <f t="shared" si="1"/>
        <v>BE0000315243</v>
      </c>
      <c r="K29" s="314" t="str">
        <f t="shared" si="2"/>
        <v>FGBSM8</v>
      </c>
      <c r="L29" s="314" t="str">
        <f t="shared" si="3"/>
        <v>FGBSM8</v>
      </c>
      <c r="M29" s="360" t="s">
        <v>1835</v>
      </c>
    </row>
    <row r="30" spans="1:13" ht="16.5" thickBot="1">
      <c r="A30" s="957" t="s">
        <v>1803</v>
      </c>
      <c r="B30" s="934">
        <v>43736</v>
      </c>
      <c r="C30" s="922" t="s">
        <v>443</v>
      </c>
      <c r="D30" s="922" t="s">
        <v>615</v>
      </c>
      <c r="E30" s="964">
        <v>0.72899999999999998</v>
      </c>
      <c r="F30" s="928">
        <v>7.29</v>
      </c>
      <c r="G30" s="922" t="s">
        <v>1835</v>
      </c>
      <c r="H30" s="922" t="s">
        <v>1835</v>
      </c>
      <c r="I30" s="256" t="str">
        <f t="shared" si="0"/>
        <v>BE0000327362</v>
      </c>
      <c r="J30" s="256" t="str">
        <f t="shared" si="1"/>
        <v>BE0000327362</v>
      </c>
      <c r="K30" s="314" t="str">
        <f t="shared" si="2"/>
        <v>FGBSM8</v>
      </c>
      <c r="L30" s="314" t="str">
        <f t="shared" si="3"/>
        <v>FGBSM8</v>
      </c>
      <c r="M30" s="360" t="s">
        <v>1835</v>
      </c>
    </row>
    <row r="31" spans="1:13" ht="16.5" thickBot="1">
      <c r="A31" s="957" t="s">
        <v>1804</v>
      </c>
      <c r="B31" s="934">
        <v>44102</v>
      </c>
      <c r="C31" s="922" t="s">
        <v>444</v>
      </c>
      <c r="D31" s="922" t="s">
        <v>616</v>
      </c>
      <c r="E31" s="964">
        <v>1.2170000000000001</v>
      </c>
      <c r="F31" s="928">
        <v>12.170000000000002</v>
      </c>
      <c r="G31" s="922" t="s">
        <v>1835</v>
      </c>
      <c r="H31" s="922" t="s">
        <v>1835</v>
      </c>
      <c r="I31" s="256" t="str">
        <f t="shared" si="0"/>
        <v>BE0000318270</v>
      </c>
      <c r="J31" s="256" t="str">
        <f t="shared" si="1"/>
        <v>BE0000318270</v>
      </c>
      <c r="K31" s="314" t="str">
        <f t="shared" si="2"/>
        <v>FGBSM8</v>
      </c>
      <c r="L31" s="314" t="str">
        <f t="shared" si="3"/>
        <v>FGBSM8</v>
      </c>
      <c r="M31" s="360" t="s">
        <v>1835</v>
      </c>
    </row>
    <row r="32" spans="1:13" ht="16.5" thickBot="1">
      <c r="A32" s="957" t="s">
        <v>1805</v>
      </c>
      <c r="B32" s="934">
        <v>44467</v>
      </c>
      <c r="C32" s="922" t="s">
        <v>445</v>
      </c>
      <c r="D32" s="922" t="s">
        <v>617</v>
      </c>
      <c r="E32" s="967">
        <v>0.629</v>
      </c>
      <c r="F32" s="928">
        <v>6.29</v>
      </c>
      <c r="G32" s="922" t="s">
        <v>1807</v>
      </c>
      <c r="H32" s="922" t="s">
        <v>1807</v>
      </c>
      <c r="I32" s="256" t="str">
        <f t="shared" si="0"/>
        <v>BE0000321308</v>
      </c>
      <c r="J32" s="256" t="str">
        <f t="shared" si="1"/>
        <v>BE0000321308</v>
      </c>
      <c r="K32" s="314" t="str">
        <f t="shared" si="2"/>
        <v>FGBMM8</v>
      </c>
      <c r="L32" s="314" t="str">
        <f t="shared" si="3"/>
        <v>FGBMM8</v>
      </c>
      <c r="M32" s="360" t="s">
        <v>1807</v>
      </c>
    </row>
    <row r="33" spans="1:149" ht="16.5" thickBot="1">
      <c r="A33" s="957" t="s">
        <v>1806</v>
      </c>
      <c r="B33" s="934">
        <v>44648</v>
      </c>
      <c r="C33" s="922" t="s">
        <v>446</v>
      </c>
      <c r="D33" s="922" t="s">
        <v>618</v>
      </c>
      <c r="E33" s="967">
        <v>0.71599999999999997</v>
      </c>
      <c r="F33" s="928">
        <v>7.16</v>
      </c>
      <c r="G33" s="922" t="s">
        <v>1807</v>
      </c>
      <c r="H33" s="922" t="s">
        <v>1807</v>
      </c>
      <c r="I33" s="256" t="str">
        <f t="shared" si="0"/>
        <v>BE0000308172</v>
      </c>
      <c r="J33" s="256" t="str">
        <f t="shared" si="1"/>
        <v>BE0000308172</v>
      </c>
      <c r="K33" s="314" t="str">
        <f t="shared" si="2"/>
        <v>FGBMM8</v>
      </c>
      <c r="L33" s="314" t="str">
        <f t="shared" si="3"/>
        <v>FGBMM8</v>
      </c>
      <c r="M33" s="360" t="s">
        <v>1807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957" t="s">
        <v>1808</v>
      </c>
      <c r="B34" s="934">
        <v>44832</v>
      </c>
      <c r="C34" s="922" t="s">
        <v>447</v>
      </c>
      <c r="D34" s="922" t="s">
        <v>619</v>
      </c>
      <c r="E34" s="967">
        <v>0.81200000000000006</v>
      </c>
      <c r="F34" s="928">
        <v>8.120000000000001</v>
      </c>
      <c r="G34" s="922" t="s">
        <v>1807</v>
      </c>
      <c r="H34" s="922" t="s">
        <v>1807</v>
      </c>
      <c r="I34" s="256" t="str">
        <f t="shared" si="0"/>
        <v>BE0000325341</v>
      </c>
      <c r="J34" s="256" t="str">
        <f t="shared" si="1"/>
        <v>BE0000325341</v>
      </c>
      <c r="K34" s="314" t="str">
        <f t="shared" si="2"/>
        <v>FGBMM8</v>
      </c>
      <c r="L34" s="314" t="str">
        <f t="shared" si="3"/>
        <v>FGBMM8</v>
      </c>
      <c r="M34" s="360" t="s">
        <v>1807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957" t="s">
        <v>1809</v>
      </c>
      <c r="B35" s="934">
        <v>45099</v>
      </c>
      <c r="C35" s="922" t="s">
        <v>448</v>
      </c>
      <c r="D35" s="922" t="s">
        <v>620</v>
      </c>
      <c r="E35" s="967">
        <v>0.89200000000000002</v>
      </c>
      <c r="F35" s="928">
        <v>8.92</v>
      </c>
      <c r="G35" s="922" t="s">
        <v>1807</v>
      </c>
      <c r="H35" s="922" t="s">
        <v>1807</v>
      </c>
      <c r="I35" s="256" t="str">
        <f t="shared" si="0"/>
        <v>BE0000328378</v>
      </c>
      <c r="J35" s="256" t="str">
        <f t="shared" si="1"/>
        <v>BE0000328378</v>
      </c>
      <c r="K35" s="314" t="str">
        <f t="shared" si="2"/>
        <v>FGBMM8</v>
      </c>
      <c r="L35" s="314" t="str">
        <f t="shared" si="3"/>
        <v>FGBMM8</v>
      </c>
      <c r="M35" s="360" t="s">
        <v>1807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957" t="s">
        <v>1810</v>
      </c>
      <c r="B36" s="934">
        <v>45221</v>
      </c>
      <c r="C36" s="922" t="s">
        <v>845</v>
      </c>
      <c r="D36" s="929" t="s">
        <v>846</v>
      </c>
      <c r="E36" s="967">
        <v>0.88400000000000001</v>
      </c>
      <c r="F36" s="928">
        <v>8.84</v>
      </c>
      <c r="G36" s="922" t="s">
        <v>1807</v>
      </c>
      <c r="H36" s="922" t="s">
        <v>1807</v>
      </c>
      <c r="I36" s="256" t="str">
        <f t="shared" si="0"/>
        <v>BE0000339482</v>
      </c>
      <c r="J36" s="256" t="str">
        <f t="shared" si="1"/>
        <v>BE0000339482</v>
      </c>
      <c r="K36" s="314" t="str">
        <f t="shared" si="2"/>
        <v>FGBMM8</v>
      </c>
      <c r="L36" s="314" t="str">
        <f t="shared" si="3"/>
        <v>FGBMM8</v>
      </c>
      <c r="M36" s="360" t="s">
        <v>1807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957" t="s">
        <v>1811</v>
      </c>
      <c r="B37" s="934">
        <v>45465</v>
      </c>
      <c r="C37" s="922" t="s">
        <v>449</v>
      </c>
      <c r="D37" s="922" t="s">
        <v>404</v>
      </c>
      <c r="E37" s="966">
        <v>1.0640000000000001</v>
      </c>
      <c r="F37" s="928">
        <v>10.64</v>
      </c>
      <c r="G37" s="922" t="s">
        <v>1807</v>
      </c>
      <c r="H37" s="922" t="s">
        <v>1807</v>
      </c>
      <c r="I37" s="256" t="str">
        <f t="shared" si="0"/>
        <v>BE0000332412</v>
      </c>
      <c r="J37" s="256" t="str">
        <f t="shared" si="1"/>
        <v>BE0000332412</v>
      </c>
      <c r="K37" s="314" t="str">
        <f t="shared" si="2"/>
        <v>FGBMM8</v>
      </c>
      <c r="L37" s="314" t="str">
        <f t="shared" si="3"/>
        <v>FGBMM8</v>
      </c>
      <c r="M37" s="360" t="s">
        <v>1807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957" t="s">
        <v>1812</v>
      </c>
      <c r="B38" s="934">
        <v>45587</v>
      </c>
      <c r="C38" s="922" t="s">
        <v>908</v>
      </c>
      <c r="D38" s="935" t="s">
        <v>909</v>
      </c>
      <c r="E38" s="965">
        <v>1.0329999999999999</v>
      </c>
      <c r="F38" s="928">
        <v>10.329999999999998</v>
      </c>
      <c r="G38" s="922" t="s">
        <v>1807</v>
      </c>
      <c r="H38" s="922" t="s">
        <v>1807</v>
      </c>
      <c r="I38" s="256" t="str">
        <f t="shared" si="0"/>
        <v>BE0000342510</v>
      </c>
      <c r="J38" s="256" t="str">
        <f t="shared" si="1"/>
        <v>BE0000342510</v>
      </c>
      <c r="K38" s="314" t="str">
        <f t="shared" si="2"/>
        <v>FGBMM8</v>
      </c>
      <c r="L38" s="314" t="str">
        <f t="shared" si="3"/>
        <v>FGBMM8</v>
      </c>
      <c r="M38" s="360" t="s">
        <v>1807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957" t="s">
        <v>1813</v>
      </c>
      <c r="B39" s="934">
        <v>45830</v>
      </c>
      <c r="C39" s="936" t="s">
        <v>567</v>
      </c>
      <c r="D39" s="936" t="s">
        <v>568</v>
      </c>
      <c r="E39" s="968">
        <v>0.52300000000000002</v>
      </c>
      <c r="F39" s="928">
        <v>5.23</v>
      </c>
      <c r="G39" s="922" t="s">
        <v>1827</v>
      </c>
      <c r="H39" s="922" t="s">
        <v>1827</v>
      </c>
      <c r="I39" s="256" t="str">
        <f t="shared" si="0"/>
        <v>BE0000334434</v>
      </c>
      <c r="J39" s="256" t="str">
        <f t="shared" si="1"/>
        <v>BE0000334434</v>
      </c>
      <c r="K39" s="314" t="str">
        <f t="shared" si="2"/>
        <v>FGBLM8</v>
      </c>
      <c r="L39" s="314" t="str">
        <f t="shared" si="3"/>
        <v>FGBLM8</v>
      </c>
      <c r="M39" s="360" t="s">
        <v>1827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957" t="s">
        <v>1814</v>
      </c>
      <c r="B40" s="934">
        <v>46109</v>
      </c>
      <c r="C40" s="922" t="s">
        <v>450</v>
      </c>
      <c r="D40" s="922" t="s">
        <v>621</v>
      </c>
      <c r="E40" s="968">
        <v>0.67</v>
      </c>
      <c r="F40" s="928">
        <v>6.7</v>
      </c>
      <c r="G40" s="922" t="s">
        <v>1827</v>
      </c>
      <c r="H40" s="922" t="s">
        <v>1827</v>
      </c>
      <c r="I40" s="256" t="str">
        <f t="shared" si="0"/>
        <v>BE0000324336</v>
      </c>
      <c r="J40" s="256" t="str">
        <f t="shared" si="1"/>
        <v>BE0000324336</v>
      </c>
      <c r="K40" s="314" t="str">
        <f t="shared" si="2"/>
        <v>FGBLM8</v>
      </c>
      <c r="L40" s="314" t="str">
        <f t="shared" si="3"/>
        <v>FGBLM8</v>
      </c>
      <c r="M40" s="360" t="s">
        <v>1827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957" t="s">
        <v>1815</v>
      </c>
      <c r="B41" s="934">
        <v>46195</v>
      </c>
      <c r="C41" s="929" t="s">
        <v>788</v>
      </c>
      <c r="D41" s="929" t="s">
        <v>789</v>
      </c>
      <c r="E41" s="968">
        <v>0.59</v>
      </c>
      <c r="F41" s="928">
        <v>5.8999999999999995</v>
      </c>
      <c r="G41" s="922" t="s">
        <v>1827</v>
      </c>
      <c r="H41" s="922" t="s">
        <v>1827</v>
      </c>
      <c r="I41" s="256" t="str">
        <f t="shared" si="0"/>
        <v>BE0000337460</v>
      </c>
      <c r="J41" s="256" t="str">
        <f t="shared" si="1"/>
        <v>BE0000337460</v>
      </c>
      <c r="K41" s="314" t="str">
        <f t="shared" si="2"/>
        <v>FGBLM8</v>
      </c>
      <c r="L41" s="314" t="str">
        <f t="shared" si="3"/>
        <v>FGBLM8</v>
      </c>
      <c r="M41" s="360" t="s">
        <v>1827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957" t="s">
        <v>1816</v>
      </c>
      <c r="B42" s="934">
        <v>46560</v>
      </c>
      <c r="C42" s="929" t="s">
        <v>910</v>
      </c>
      <c r="D42" s="929" t="s">
        <v>911</v>
      </c>
      <c r="E42" s="968">
        <v>0.64400000000000002</v>
      </c>
      <c r="F42" s="928">
        <v>6.44</v>
      </c>
      <c r="G42" s="922" t="s">
        <v>1827</v>
      </c>
      <c r="H42" s="922" t="s">
        <v>1827</v>
      </c>
      <c r="I42" s="256" t="str">
        <f t="shared" si="0"/>
        <v>BE0000341504</v>
      </c>
      <c r="J42" s="256" t="str">
        <f t="shared" si="1"/>
        <v>BE0000341504</v>
      </c>
      <c r="K42" s="314" t="str">
        <f t="shared" si="2"/>
        <v>FGBLM8</v>
      </c>
      <c r="L42" s="314" t="str">
        <f t="shared" si="3"/>
        <v>FGBLM8</v>
      </c>
      <c r="M42" s="360" t="s">
        <v>1827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957" t="s">
        <v>1817</v>
      </c>
      <c r="B43" s="934">
        <v>46840</v>
      </c>
      <c r="C43" s="922" t="s">
        <v>311</v>
      </c>
      <c r="D43" s="922" t="s">
        <v>622</v>
      </c>
      <c r="E43" s="968">
        <v>0.875</v>
      </c>
      <c r="F43" s="928">
        <v>8.75</v>
      </c>
      <c r="G43" s="922" t="s">
        <v>1827</v>
      </c>
      <c r="H43" s="922" t="s">
        <v>1827</v>
      </c>
      <c r="I43" s="256" t="str">
        <f t="shared" si="0"/>
        <v>BE0000291972</v>
      </c>
      <c r="J43" s="256" t="str">
        <f t="shared" si="1"/>
        <v>BE0000291972</v>
      </c>
      <c r="K43" s="314" t="str">
        <f t="shared" si="2"/>
        <v>FGBLM8</v>
      </c>
      <c r="L43" s="314" t="str">
        <f t="shared" si="3"/>
        <v>FGBLM8</v>
      </c>
      <c r="M43" s="360" t="s">
        <v>1827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957" t="s">
        <v>1818</v>
      </c>
      <c r="B44" s="934">
        <v>46926</v>
      </c>
      <c r="C44" s="929" t="s">
        <v>1819</v>
      </c>
      <c r="D44" s="922" t="s">
        <v>1820</v>
      </c>
      <c r="E44" s="968">
        <v>0.69899999999999995</v>
      </c>
      <c r="F44" s="928">
        <v>6.99</v>
      </c>
      <c r="G44" s="922" t="s">
        <v>1827</v>
      </c>
      <c r="H44" s="922" t="s">
        <v>1827</v>
      </c>
      <c r="I44" s="256" t="str">
        <f t="shared" si="0"/>
        <v>BE0000345547</v>
      </c>
      <c r="J44" s="256" t="str">
        <f t="shared" si="1"/>
        <v>BE0000345547</v>
      </c>
      <c r="K44" s="314" t="str">
        <f t="shared" si="2"/>
        <v>FGBLM8</v>
      </c>
      <c r="L44" s="314" t="str">
        <f t="shared" si="3"/>
        <v>FGBLM8</v>
      </c>
      <c r="M44" s="360" t="s">
        <v>1827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957" t="s">
        <v>1821</v>
      </c>
      <c r="B45" s="934">
        <v>48021</v>
      </c>
      <c r="C45" s="936" t="s">
        <v>569</v>
      </c>
      <c r="D45" s="922" t="s">
        <v>570</v>
      </c>
      <c r="E45" s="968">
        <v>0.874</v>
      </c>
      <c r="F45" s="928">
        <v>8.74</v>
      </c>
      <c r="G45" s="922" t="s">
        <v>1827</v>
      </c>
      <c r="H45" s="922" t="s">
        <v>1827</v>
      </c>
      <c r="I45" s="256" t="str">
        <f t="shared" si="0"/>
        <v>BE0000335449</v>
      </c>
      <c r="J45" s="256" t="str">
        <f t="shared" si="1"/>
        <v>BE0000335449</v>
      </c>
      <c r="K45" s="314" t="str">
        <f t="shared" si="2"/>
        <v>FGBLM8</v>
      </c>
      <c r="L45" s="314" t="str">
        <f t="shared" si="3"/>
        <v>FGBLM8</v>
      </c>
      <c r="M45" s="360" t="s">
        <v>1827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957" t="s">
        <v>1822</v>
      </c>
      <c r="B46" s="934">
        <v>48301</v>
      </c>
      <c r="C46" s="922" t="s">
        <v>451</v>
      </c>
      <c r="D46" s="922" t="s">
        <v>623</v>
      </c>
      <c r="E46" s="968">
        <v>1.1299999999999999</v>
      </c>
      <c r="F46" s="928">
        <v>11.299999999999999</v>
      </c>
      <c r="G46" s="922" t="s">
        <v>1827</v>
      </c>
      <c r="H46" s="922" t="s">
        <v>1827</v>
      </c>
      <c r="I46" s="256" t="str">
        <f t="shared" si="0"/>
        <v>BE0000326356</v>
      </c>
      <c r="J46" s="256" t="str">
        <f t="shared" si="1"/>
        <v>BE0000326356</v>
      </c>
      <c r="K46" s="314" t="str">
        <f t="shared" si="2"/>
        <v>FGBLM8</v>
      </c>
      <c r="L46" s="314" t="str">
        <f t="shared" si="3"/>
        <v>FGBLM8</v>
      </c>
      <c r="M46" s="360" t="s">
        <v>1827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957" t="s">
        <v>1823</v>
      </c>
      <c r="B47" s="934">
        <v>49117</v>
      </c>
      <c r="C47" s="922" t="s">
        <v>452</v>
      </c>
      <c r="D47" s="937" t="s">
        <v>405</v>
      </c>
      <c r="E47" s="968">
        <v>1.202</v>
      </c>
      <c r="F47" s="928">
        <v>12.02</v>
      </c>
      <c r="G47" s="922" t="s">
        <v>1827</v>
      </c>
      <c r="H47" s="922" t="s">
        <v>1827</v>
      </c>
      <c r="I47" s="256" t="str">
        <f t="shared" si="0"/>
        <v>BE0000333428</v>
      </c>
      <c r="J47" s="256" t="str">
        <f t="shared" si="1"/>
        <v>BE0000333428</v>
      </c>
      <c r="K47" s="314" t="str">
        <f t="shared" si="2"/>
        <v>FGBLM8</v>
      </c>
      <c r="L47" s="314" t="str">
        <f t="shared" si="3"/>
        <v>FGBLM8</v>
      </c>
      <c r="M47" s="360" t="s">
        <v>1827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957" t="s">
        <v>1824</v>
      </c>
      <c r="B48" s="934">
        <v>49396</v>
      </c>
      <c r="C48" s="922" t="s">
        <v>313</v>
      </c>
      <c r="D48" s="922" t="s">
        <v>624</v>
      </c>
      <c r="E48" s="968">
        <v>1.458</v>
      </c>
      <c r="F48" s="928">
        <v>14.58</v>
      </c>
      <c r="G48" s="922" t="s">
        <v>1827</v>
      </c>
      <c r="H48" s="922" t="s">
        <v>1827</v>
      </c>
      <c r="I48" s="256" t="str">
        <f t="shared" si="0"/>
        <v>BE0000304130</v>
      </c>
      <c r="J48" s="256" t="str">
        <f t="shared" si="1"/>
        <v>BE0000304130</v>
      </c>
      <c r="K48" s="314" t="str">
        <f t="shared" si="2"/>
        <v>FGBLM8</v>
      </c>
      <c r="L48" s="314" t="str">
        <f t="shared" si="3"/>
        <v>FGBLM8</v>
      </c>
      <c r="M48" s="360" t="s">
        <v>1827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957" t="s">
        <v>1825</v>
      </c>
      <c r="B49" s="934">
        <v>50213</v>
      </c>
      <c r="C49" s="935" t="s">
        <v>962</v>
      </c>
      <c r="D49" s="950" t="s">
        <v>978</v>
      </c>
      <c r="E49" s="968">
        <v>1.208</v>
      </c>
      <c r="F49" s="928">
        <v>12.08</v>
      </c>
      <c r="G49" s="922" t="s">
        <v>1827</v>
      </c>
      <c r="H49" s="922" t="s">
        <v>1827</v>
      </c>
      <c r="I49" s="256" t="str">
        <f t="shared" si="0"/>
        <v>BE0000344532</v>
      </c>
      <c r="J49" s="256" t="str">
        <f t="shared" si="1"/>
        <v>BE0000344532</v>
      </c>
      <c r="K49" s="314" t="str">
        <f t="shared" si="2"/>
        <v>FGBLM8</v>
      </c>
      <c r="L49" s="314" t="str">
        <f t="shared" si="3"/>
        <v>FGBLM8</v>
      </c>
      <c r="M49" s="360" t="s">
        <v>1827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957" t="s">
        <v>1826</v>
      </c>
      <c r="B50" s="934">
        <v>50578</v>
      </c>
      <c r="C50" s="922" t="s">
        <v>759</v>
      </c>
      <c r="D50" s="922" t="s">
        <v>776</v>
      </c>
      <c r="E50" s="968">
        <v>1.3109999999999999</v>
      </c>
      <c r="F50" s="928">
        <v>13.11</v>
      </c>
      <c r="G50" s="922" t="s">
        <v>1827</v>
      </c>
      <c r="H50" s="922" t="s">
        <v>1827</v>
      </c>
      <c r="I50" s="256" t="str">
        <f t="shared" si="0"/>
        <v>BE0000336454</v>
      </c>
      <c r="J50" s="256" t="str">
        <f t="shared" si="1"/>
        <v>BE0000336454</v>
      </c>
      <c r="K50" s="314" t="str">
        <f t="shared" si="2"/>
        <v>FGBLM8</v>
      </c>
      <c r="L50" s="314" t="str">
        <f t="shared" si="3"/>
        <v>FGBLM8</v>
      </c>
      <c r="M50" s="360" t="s">
        <v>1827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957" t="s">
        <v>1828</v>
      </c>
      <c r="B51" s="934">
        <v>51588</v>
      </c>
      <c r="C51" s="922" t="s">
        <v>453</v>
      </c>
      <c r="D51" s="922" t="s">
        <v>625</v>
      </c>
      <c r="E51" s="968">
        <v>1.835</v>
      </c>
      <c r="F51" s="928">
        <v>18.350000000000001</v>
      </c>
      <c r="G51" s="922" t="s">
        <v>1827</v>
      </c>
      <c r="H51" s="922" t="s">
        <v>1827</v>
      </c>
      <c r="I51" s="256" t="str">
        <f t="shared" si="0"/>
        <v>BE0000320292</v>
      </c>
      <c r="J51" s="256" t="str">
        <f t="shared" si="1"/>
        <v>BE0000320292</v>
      </c>
      <c r="K51" s="314" t="str">
        <f t="shared" si="2"/>
        <v>FGBLM8</v>
      </c>
      <c r="L51" s="314" t="str">
        <f t="shared" si="3"/>
        <v>FGBLM8</v>
      </c>
      <c r="M51" s="360" t="s">
        <v>1827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957" t="s">
        <v>1829</v>
      </c>
      <c r="B52" s="934">
        <v>53135</v>
      </c>
      <c r="C52" s="922" t="s">
        <v>454</v>
      </c>
      <c r="D52" s="922" t="s">
        <v>626</v>
      </c>
      <c r="E52" s="968">
        <v>1.9990000000000001</v>
      </c>
      <c r="F52" s="928">
        <v>19.990000000000002</v>
      </c>
      <c r="G52" s="922" t="s">
        <v>1827</v>
      </c>
      <c r="H52" s="922" t="s">
        <v>1827</v>
      </c>
      <c r="I52" s="256" t="str">
        <f t="shared" si="0"/>
        <v>BE0000331406</v>
      </c>
      <c r="J52" s="256" t="str">
        <f t="shared" si="1"/>
        <v>BE0000331406</v>
      </c>
      <c r="K52" s="314" t="str">
        <f t="shared" si="2"/>
        <v>FGBLM8</v>
      </c>
      <c r="L52" s="314" t="str">
        <f t="shared" si="3"/>
        <v>FGBLM8</v>
      </c>
      <c r="M52" s="360" t="s">
        <v>1827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957" t="s">
        <v>1830</v>
      </c>
      <c r="B53" s="934">
        <v>53865</v>
      </c>
      <c r="C53" s="922" t="s">
        <v>847</v>
      </c>
      <c r="D53" s="929" t="s">
        <v>848</v>
      </c>
      <c r="E53" s="968">
        <v>1.6060000000000001</v>
      </c>
      <c r="F53" s="928">
        <v>16.060000000000002</v>
      </c>
      <c r="G53" s="922" t="s">
        <v>1827</v>
      </c>
      <c r="H53" s="922" t="s">
        <v>1827</v>
      </c>
      <c r="I53" s="256" t="str">
        <f t="shared" si="0"/>
        <v>BE0000338476</v>
      </c>
      <c r="J53" s="256" t="str">
        <f t="shared" si="1"/>
        <v>BE0000338476</v>
      </c>
      <c r="K53" s="314" t="str">
        <f t="shared" si="2"/>
        <v>FGBLM8</v>
      </c>
      <c r="L53" s="314" t="str">
        <f t="shared" si="3"/>
        <v>FGBLM8</v>
      </c>
      <c r="M53" s="360" t="s">
        <v>1827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957" t="s">
        <v>1831</v>
      </c>
      <c r="B54" s="934">
        <v>57487</v>
      </c>
      <c r="C54" s="922" t="s">
        <v>912</v>
      </c>
      <c r="D54" s="935" t="s">
        <v>913</v>
      </c>
      <c r="E54" s="968">
        <v>2.093</v>
      </c>
      <c r="F54" s="928">
        <v>20.93</v>
      </c>
      <c r="G54" s="922" t="s">
        <v>1827</v>
      </c>
      <c r="H54" s="922" t="s">
        <v>1827</v>
      </c>
      <c r="I54" s="256" t="str">
        <f t="shared" si="0"/>
        <v>BE0000343526</v>
      </c>
      <c r="J54" s="256" t="str">
        <f t="shared" si="1"/>
        <v>BE0000343526</v>
      </c>
      <c r="K54" s="314" t="str">
        <f t="shared" si="2"/>
        <v>FGBLM8</v>
      </c>
      <c r="L54" s="314" t="str">
        <f t="shared" si="3"/>
        <v>FGBLM8</v>
      </c>
      <c r="M54" s="360" t="s">
        <v>1827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957" t="s">
        <v>1832</v>
      </c>
      <c r="B55" s="934">
        <v>60805</v>
      </c>
      <c r="C55" s="922" t="s">
        <v>849</v>
      </c>
      <c r="D55" s="929" t="s">
        <v>850</v>
      </c>
      <c r="E55" s="968">
        <v>2.2959999999999998</v>
      </c>
      <c r="F55" s="928">
        <v>22.959999999999997</v>
      </c>
      <c r="G55" s="922" t="s">
        <v>1827</v>
      </c>
      <c r="H55" s="922" t="s">
        <v>1827</v>
      </c>
      <c r="I55" s="256" t="str">
        <f t="shared" si="0"/>
        <v>BE0000340498</v>
      </c>
      <c r="J55" s="256" t="str">
        <f t="shared" si="1"/>
        <v>BE0000340498</v>
      </c>
      <c r="K55" s="314" t="str">
        <f t="shared" si="2"/>
        <v>FGBLM8</v>
      </c>
      <c r="L55" s="314" t="str">
        <f t="shared" si="3"/>
        <v>FGBLM8</v>
      </c>
      <c r="M55" s="360" t="s">
        <v>1827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932" t="s">
        <v>1833</v>
      </c>
      <c r="B56" s="927"/>
      <c r="C56" s="920"/>
      <c r="D56" s="920" t="s">
        <v>599</v>
      </c>
      <c r="E56" s="933"/>
      <c r="F56" s="928"/>
      <c r="G56" s="920" t="s">
        <v>599</v>
      </c>
      <c r="H56" s="920" t="s">
        <v>599</v>
      </c>
      <c r="I56" s="256" t="str">
        <f t="shared" si="0"/>
        <v/>
      </c>
      <c r="J56" s="256" t="str">
        <f t="shared" si="1"/>
        <v/>
      </c>
      <c r="K56" s="314" t="str">
        <f t="shared" si="2"/>
        <v/>
      </c>
      <c r="L56" s="314" t="str">
        <f t="shared" si="3"/>
        <v/>
      </c>
      <c r="M56" s="360" t="s">
        <v>599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957" t="s">
        <v>1834</v>
      </c>
      <c r="B57" s="927">
        <v>43285</v>
      </c>
      <c r="C57" s="920" t="s">
        <v>455</v>
      </c>
      <c r="D57" s="920" t="s">
        <v>632</v>
      </c>
      <c r="E57" s="971">
        <v>0.16300000000000001</v>
      </c>
      <c r="F57" s="928">
        <v>1.6300000000000001</v>
      </c>
      <c r="G57" s="922" t="s">
        <v>1835</v>
      </c>
      <c r="H57" s="922" t="s">
        <v>1835</v>
      </c>
      <c r="I57" s="256" t="str">
        <f t="shared" si="0"/>
        <v>DE0001135358</v>
      </c>
      <c r="J57" s="256" t="str">
        <f t="shared" si="1"/>
        <v>DE0001135358</v>
      </c>
      <c r="K57" s="314" t="str">
        <f t="shared" si="2"/>
        <v>FGBSM8</v>
      </c>
      <c r="L57" s="314" t="str">
        <f t="shared" si="3"/>
        <v>FGBSM8</v>
      </c>
      <c r="M57" s="360" t="s">
        <v>1835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957" t="s">
        <v>1836</v>
      </c>
      <c r="B58" s="927">
        <v>43357</v>
      </c>
      <c r="C58" s="920" t="s">
        <v>873</v>
      </c>
      <c r="D58" s="929" t="s">
        <v>878</v>
      </c>
      <c r="E58" s="970">
        <v>0.24299999999999999</v>
      </c>
      <c r="F58" s="928">
        <v>2.4299999999999997</v>
      </c>
      <c r="G58" s="922" t="s">
        <v>1835</v>
      </c>
      <c r="H58" s="922" t="s">
        <v>1835</v>
      </c>
      <c r="I58" s="256" t="str">
        <f t="shared" si="0"/>
        <v>DE0001104651</v>
      </c>
      <c r="J58" s="256" t="str">
        <f t="shared" si="1"/>
        <v>DE0001104651</v>
      </c>
      <c r="K58" s="314" t="str">
        <f t="shared" si="2"/>
        <v>FGBSM8</v>
      </c>
      <c r="L58" s="314" t="str">
        <f t="shared" si="3"/>
        <v>FGBSM8</v>
      </c>
      <c r="M58" s="360" t="s">
        <v>1835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957" t="s">
        <v>1837</v>
      </c>
      <c r="B59" s="927">
        <v>43385</v>
      </c>
      <c r="C59" s="920" t="s">
        <v>456</v>
      </c>
      <c r="D59" s="920" t="s">
        <v>633</v>
      </c>
      <c r="E59" s="969">
        <v>0.27900000000000003</v>
      </c>
      <c r="F59" s="928">
        <v>2.79</v>
      </c>
      <c r="G59" s="922" t="s">
        <v>1835</v>
      </c>
      <c r="H59" s="922" t="s">
        <v>1835</v>
      </c>
      <c r="I59" s="256" t="str">
        <f t="shared" si="0"/>
        <v>DE0001141679</v>
      </c>
      <c r="J59" s="256" t="str">
        <f t="shared" si="1"/>
        <v>DE0001141679</v>
      </c>
      <c r="K59" s="314" t="str">
        <f t="shared" si="2"/>
        <v>FGBSM8</v>
      </c>
      <c r="L59" s="314" t="str">
        <f t="shared" si="3"/>
        <v>FGBSM8</v>
      </c>
      <c r="M59" s="360" t="s">
        <v>1835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957" t="s">
        <v>1838</v>
      </c>
      <c r="B60" s="927">
        <v>43448</v>
      </c>
      <c r="C60" s="930" t="s">
        <v>886</v>
      </c>
      <c r="D60" s="939" t="s">
        <v>887</v>
      </c>
      <c r="E60" s="969">
        <v>0.35299999999999998</v>
      </c>
      <c r="F60" s="928">
        <v>3.53</v>
      </c>
      <c r="G60" s="922" t="s">
        <v>1835</v>
      </c>
      <c r="H60" s="922" t="s">
        <v>1835</v>
      </c>
      <c r="I60" s="256" t="str">
        <f t="shared" si="0"/>
        <v>DE0001104669</v>
      </c>
      <c r="J60" s="256" t="str">
        <f t="shared" si="1"/>
        <v>DE0001104669</v>
      </c>
      <c r="K60" s="314" t="str">
        <f t="shared" si="2"/>
        <v>FGBSM8</v>
      </c>
      <c r="L60" s="314" t="str">
        <f t="shared" si="3"/>
        <v>FGBSM8</v>
      </c>
      <c r="M60" s="360" t="s">
        <v>1835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957" t="s">
        <v>1839</v>
      </c>
      <c r="B61" s="927">
        <v>43469</v>
      </c>
      <c r="C61" s="920" t="s">
        <v>457</v>
      </c>
      <c r="D61" s="920" t="s">
        <v>634</v>
      </c>
      <c r="E61" s="969">
        <v>0.39300000000000002</v>
      </c>
      <c r="F61" s="928">
        <v>3.93</v>
      </c>
      <c r="G61" s="922" t="s">
        <v>1835</v>
      </c>
      <c r="H61" s="922" t="s">
        <v>1835</v>
      </c>
      <c r="I61" s="256" t="str">
        <f t="shared" si="0"/>
        <v>DE0001135374</v>
      </c>
      <c r="J61" s="256" t="str">
        <f t="shared" si="1"/>
        <v>DE0001135374</v>
      </c>
      <c r="K61" s="314" t="str">
        <f t="shared" si="2"/>
        <v>FGBSM8</v>
      </c>
      <c r="L61" s="314" t="str">
        <f t="shared" si="3"/>
        <v>FGBSM8</v>
      </c>
      <c r="M61" s="360" t="s">
        <v>1835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957" t="s">
        <v>1840</v>
      </c>
      <c r="B62" s="927">
        <v>43518</v>
      </c>
      <c r="C62" s="920" t="s">
        <v>458</v>
      </c>
      <c r="D62" s="920" t="s">
        <v>406</v>
      </c>
      <c r="E62" s="969">
        <v>0.443</v>
      </c>
      <c r="F62" s="928">
        <v>4.43</v>
      </c>
      <c r="G62" s="922" t="s">
        <v>1835</v>
      </c>
      <c r="H62" s="922" t="s">
        <v>1835</v>
      </c>
      <c r="I62" s="256" t="str">
        <f t="shared" si="0"/>
        <v>DE0001141687</v>
      </c>
      <c r="J62" s="256" t="str">
        <f t="shared" si="1"/>
        <v>DE0001141687</v>
      </c>
      <c r="K62" s="314" t="str">
        <f t="shared" si="2"/>
        <v>FGBSM8</v>
      </c>
      <c r="L62" s="314" t="str">
        <f t="shared" si="3"/>
        <v>FGBSM8</v>
      </c>
      <c r="M62" s="360" t="s">
        <v>1835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957" t="s">
        <v>1841</v>
      </c>
      <c r="B63" s="927">
        <v>43539</v>
      </c>
      <c r="C63" s="920" t="s">
        <v>914</v>
      </c>
      <c r="D63" s="920" t="s">
        <v>915</v>
      </c>
      <c r="E63" s="969">
        <v>0.46400000000000002</v>
      </c>
      <c r="F63" s="928">
        <v>4.6400000000000006</v>
      </c>
      <c r="G63" s="922" t="s">
        <v>1835</v>
      </c>
      <c r="H63" s="922" t="s">
        <v>1835</v>
      </c>
      <c r="I63" s="256" t="str">
        <f t="shared" si="0"/>
        <v>DE0001104677</v>
      </c>
      <c r="J63" s="256" t="str">
        <f t="shared" si="1"/>
        <v>DE0001104677</v>
      </c>
      <c r="K63" s="314" t="str">
        <f t="shared" si="2"/>
        <v>FGBSM8</v>
      </c>
      <c r="L63" s="314" t="str">
        <f t="shared" si="3"/>
        <v>FGBSM8</v>
      </c>
      <c r="M63" s="360" t="s">
        <v>1835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957" t="s">
        <v>1842</v>
      </c>
      <c r="B64" s="927">
        <v>43567</v>
      </c>
      <c r="C64" s="940" t="s">
        <v>459</v>
      </c>
      <c r="D64" s="920" t="s">
        <v>407</v>
      </c>
      <c r="E64" s="969">
        <v>0.5</v>
      </c>
      <c r="F64" s="928">
        <v>5</v>
      </c>
      <c r="G64" s="922" t="s">
        <v>1835</v>
      </c>
      <c r="H64" s="922" t="s">
        <v>1835</v>
      </c>
      <c r="I64" s="256" t="str">
        <f t="shared" si="0"/>
        <v>DE0001141695</v>
      </c>
      <c r="J64" s="256" t="str">
        <f t="shared" si="1"/>
        <v>DE0001141695</v>
      </c>
      <c r="K64" s="314" t="str">
        <f t="shared" si="2"/>
        <v>FGBSM8</v>
      </c>
      <c r="L64" s="314" t="str">
        <f t="shared" si="3"/>
        <v>FGBSM8</v>
      </c>
      <c r="M64" s="360" t="s">
        <v>1835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957" t="s">
        <v>1843</v>
      </c>
      <c r="B65" s="927">
        <v>43630</v>
      </c>
      <c r="C65" s="920" t="s">
        <v>963</v>
      </c>
      <c r="D65" s="920" t="s">
        <v>964</v>
      </c>
      <c r="E65" s="969">
        <v>0.57399999999999995</v>
      </c>
      <c r="F65" s="928">
        <v>5.7399999999999993</v>
      </c>
      <c r="G65" s="922" t="s">
        <v>1835</v>
      </c>
      <c r="H65" s="922" t="s">
        <v>1835</v>
      </c>
      <c r="I65" s="256" t="str">
        <f t="shared" si="0"/>
        <v>DE0001104685</v>
      </c>
      <c r="J65" s="256" t="str">
        <f t="shared" si="1"/>
        <v>DE0001104685</v>
      </c>
      <c r="K65" s="314" t="str">
        <f t="shared" si="2"/>
        <v>FGBSM8</v>
      </c>
      <c r="L65" s="314" t="str">
        <f t="shared" si="3"/>
        <v>FGBSM8</v>
      </c>
      <c r="M65" s="360" t="s">
        <v>1835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957" t="s">
        <v>1844</v>
      </c>
      <c r="B66" s="927">
        <v>43650</v>
      </c>
      <c r="C66" s="941" t="s">
        <v>460</v>
      </c>
      <c r="D66" s="920" t="s">
        <v>635</v>
      </c>
      <c r="E66" s="969">
        <v>0.625</v>
      </c>
      <c r="F66" s="928">
        <v>6.25</v>
      </c>
      <c r="G66" s="922" t="s">
        <v>1835</v>
      </c>
      <c r="H66" s="922" t="s">
        <v>1835</v>
      </c>
      <c r="I66" s="256" t="str">
        <f t="shared" si="0"/>
        <v>DE0001135382</v>
      </c>
      <c r="J66" s="256" t="str">
        <f t="shared" si="1"/>
        <v>DE0001135382</v>
      </c>
      <c r="K66" s="314" t="str">
        <f t="shared" si="2"/>
        <v>FGBSM8</v>
      </c>
      <c r="L66" s="314" t="str">
        <f t="shared" si="3"/>
        <v>FGBSM8</v>
      </c>
      <c r="M66" s="360" t="s">
        <v>1835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957" t="s">
        <v>1845</v>
      </c>
      <c r="B67" s="942">
        <v>43721</v>
      </c>
      <c r="C67" s="920" t="s">
        <v>986</v>
      </c>
      <c r="D67" s="920" t="s">
        <v>987</v>
      </c>
      <c r="E67" s="969">
        <v>0.68400000000000005</v>
      </c>
      <c r="F67" s="928">
        <v>6.8400000000000007</v>
      </c>
      <c r="G67" s="922" t="s">
        <v>1835</v>
      </c>
      <c r="H67" s="922" t="s">
        <v>1835</v>
      </c>
      <c r="I67" s="261" t="str">
        <f t="shared" ref="I67:I130" si="4">LEFT(D67,12)</f>
        <v>DE0001104693</v>
      </c>
      <c r="J67" s="261" t="str">
        <f t="shared" si="1"/>
        <v>DE0001104693</v>
      </c>
      <c r="K67" s="314" t="str">
        <f t="shared" si="2"/>
        <v>FGBSM8</v>
      </c>
      <c r="L67" s="317" t="str">
        <f t="shared" si="3"/>
        <v>FGBSM8</v>
      </c>
      <c r="M67" s="360" t="s">
        <v>1835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957" t="s">
        <v>1846</v>
      </c>
      <c r="B68" s="942">
        <v>43749</v>
      </c>
      <c r="C68" s="941" t="s">
        <v>461</v>
      </c>
      <c r="D68" s="920" t="s">
        <v>408</v>
      </c>
      <c r="E68" s="969">
        <v>0.72099999999999997</v>
      </c>
      <c r="F68" s="928">
        <v>7.21</v>
      </c>
      <c r="G68" s="922" t="s">
        <v>1835</v>
      </c>
      <c r="H68" s="922" t="s">
        <v>1835</v>
      </c>
      <c r="I68" s="256" t="str">
        <f t="shared" si="4"/>
        <v>DE0001141703</v>
      </c>
      <c r="J68" s="256" t="str">
        <f t="shared" ref="J68:J131" si="5">I68</f>
        <v>DE0001141703</v>
      </c>
      <c r="K68" s="314" t="str">
        <f t="shared" ref="K68:K131" si="6">LEFT(H68,6)</f>
        <v>FGBSM8</v>
      </c>
      <c r="L68" s="314" t="str">
        <f t="shared" ref="L68:L131" si="7">K68</f>
        <v>FGBSM8</v>
      </c>
      <c r="M68" s="360" t="s">
        <v>1835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957" t="s">
        <v>1847</v>
      </c>
      <c r="B69" s="942">
        <v>43812</v>
      </c>
      <c r="C69" s="920" t="s">
        <v>1684</v>
      </c>
      <c r="D69" s="920" t="s">
        <v>1676</v>
      </c>
      <c r="E69" s="969">
        <v>0.79400000000000004</v>
      </c>
      <c r="F69" s="928">
        <v>7.94</v>
      </c>
      <c r="G69" s="922" t="s">
        <v>1835</v>
      </c>
      <c r="H69" s="922" t="s">
        <v>1835</v>
      </c>
      <c r="I69" s="256" t="str">
        <f t="shared" si="4"/>
        <v>DE0001104701</v>
      </c>
      <c r="J69" s="256" t="str">
        <f t="shared" si="5"/>
        <v>DE0001104701</v>
      </c>
      <c r="K69" s="314" t="str">
        <f t="shared" si="6"/>
        <v>FGBSM8</v>
      </c>
      <c r="L69" s="314" t="str">
        <f t="shared" si="7"/>
        <v>FGBSM8</v>
      </c>
      <c r="M69" s="360" t="s">
        <v>1835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957" t="s">
        <v>1848</v>
      </c>
      <c r="B70" s="934">
        <v>43834</v>
      </c>
      <c r="C70" s="922" t="s">
        <v>462</v>
      </c>
      <c r="D70" s="920" t="s">
        <v>636</v>
      </c>
      <c r="E70" s="969">
        <v>0.86</v>
      </c>
      <c r="F70" s="928">
        <v>8.6</v>
      </c>
      <c r="G70" s="922" t="s">
        <v>1835</v>
      </c>
      <c r="H70" s="922" t="s">
        <v>1835</v>
      </c>
      <c r="I70" s="256" t="str">
        <f t="shared" si="4"/>
        <v>DE0001135390</v>
      </c>
      <c r="J70" s="256" t="str">
        <f t="shared" si="5"/>
        <v>DE0001135390</v>
      </c>
      <c r="K70" s="314" t="str">
        <f t="shared" si="6"/>
        <v>FGBSM8</v>
      </c>
      <c r="L70" s="314" t="str">
        <f t="shared" si="7"/>
        <v>FGBSM8</v>
      </c>
      <c r="M70" s="360" t="s">
        <v>1835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957" t="s">
        <v>1849</v>
      </c>
      <c r="B71" s="934">
        <v>43903</v>
      </c>
      <c r="C71" s="920" t="s">
        <v>1850</v>
      </c>
      <c r="D71" s="920" t="s">
        <v>1729</v>
      </c>
      <c r="E71" s="969">
        <v>0.90287600000000001</v>
      </c>
      <c r="F71" s="928">
        <v>9.0287600000000001</v>
      </c>
      <c r="G71" s="922" t="s">
        <v>1835</v>
      </c>
      <c r="H71" s="922" t="s">
        <v>1835</v>
      </c>
      <c r="I71" s="256" t="str">
        <f t="shared" si="4"/>
        <v>DE0001104719</v>
      </c>
      <c r="J71" s="256" t="str">
        <f t="shared" si="5"/>
        <v>DE0001104719</v>
      </c>
      <c r="K71" s="314" t="str">
        <f t="shared" si="6"/>
        <v>FGBSM8</v>
      </c>
      <c r="L71" s="314" t="str">
        <f t="shared" si="7"/>
        <v>FGBSM8</v>
      </c>
      <c r="M71" s="360" t="s">
        <v>1835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957" t="s">
        <v>1851</v>
      </c>
      <c r="B72" s="934">
        <v>43938</v>
      </c>
      <c r="C72" s="922" t="s">
        <v>572</v>
      </c>
      <c r="D72" s="929" t="s">
        <v>573</v>
      </c>
      <c r="E72" s="969">
        <v>0.897845</v>
      </c>
      <c r="F72" s="928">
        <v>9.4499999999999993</v>
      </c>
      <c r="G72" s="922" t="s">
        <v>1835</v>
      </c>
      <c r="H72" s="922" t="s">
        <v>1835</v>
      </c>
      <c r="I72" s="256" t="str">
        <f t="shared" si="4"/>
        <v>DE0001141711</v>
      </c>
      <c r="J72" s="256" t="str">
        <f t="shared" si="5"/>
        <v>DE0001141711</v>
      </c>
      <c r="K72" s="314" t="str">
        <f t="shared" si="6"/>
        <v>FGBSM8</v>
      </c>
      <c r="L72" s="314" t="str">
        <f t="shared" si="7"/>
        <v>FGBSM8</v>
      </c>
      <c r="M72" s="360" t="s">
        <v>1835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957" t="s">
        <v>1852</v>
      </c>
      <c r="B73" s="934">
        <v>44016</v>
      </c>
      <c r="C73" s="922" t="s">
        <v>463</v>
      </c>
      <c r="D73" s="920" t="s">
        <v>637</v>
      </c>
      <c r="E73" s="969">
        <v>0.94331500000000001</v>
      </c>
      <c r="F73" s="928">
        <v>10.94</v>
      </c>
      <c r="G73" s="922" t="s">
        <v>1835</v>
      </c>
      <c r="H73" s="922" t="s">
        <v>1835</v>
      </c>
      <c r="I73" s="256" t="str">
        <f t="shared" si="4"/>
        <v>DE0001135408</v>
      </c>
      <c r="J73" s="256" t="str">
        <f t="shared" si="5"/>
        <v>DE0001135408</v>
      </c>
      <c r="K73" s="314" t="str">
        <f t="shared" si="6"/>
        <v>FGBSM8</v>
      </c>
      <c r="L73" s="314" t="str">
        <f t="shared" si="7"/>
        <v>FGBSM8</v>
      </c>
      <c r="M73" s="360" t="s">
        <v>1835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957" t="s">
        <v>1853</v>
      </c>
      <c r="B74" s="934">
        <v>44078</v>
      </c>
      <c r="C74" s="922" t="s">
        <v>464</v>
      </c>
      <c r="D74" s="920" t="s">
        <v>638</v>
      </c>
      <c r="E74" s="969">
        <v>0.92363300000000004</v>
      </c>
      <c r="F74" s="928">
        <v>11.6</v>
      </c>
      <c r="G74" s="922" t="s">
        <v>1835</v>
      </c>
      <c r="H74" s="922" t="s">
        <v>1835</v>
      </c>
      <c r="I74" s="256" t="str">
        <f t="shared" si="4"/>
        <v>DE0001135416</v>
      </c>
      <c r="J74" s="256" t="str">
        <f t="shared" si="5"/>
        <v>DE0001135416</v>
      </c>
      <c r="K74" s="314" t="str">
        <f t="shared" si="6"/>
        <v>FGBSM8</v>
      </c>
      <c r="L74" s="314" t="str">
        <f t="shared" si="7"/>
        <v>FGBSM8</v>
      </c>
      <c r="M74" s="360" t="s">
        <v>1835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957" t="s">
        <v>1854</v>
      </c>
      <c r="B75" s="934">
        <v>44120</v>
      </c>
      <c r="C75" s="922" t="s">
        <v>746</v>
      </c>
      <c r="D75" s="920" t="s">
        <v>739</v>
      </c>
      <c r="E75" s="969">
        <v>1.171</v>
      </c>
      <c r="F75" s="928">
        <v>11.71</v>
      </c>
      <c r="G75" s="922" t="s">
        <v>1835</v>
      </c>
      <c r="H75" s="922" t="s">
        <v>1835</v>
      </c>
      <c r="I75" s="256" t="str">
        <f t="shared" si="4"/>
        <v>DE0001141729</v>
      </c>
      <c r="J75" s="256" t="str">
        <f t="shared" si="5"/>
        <v>DE0001141729</v>
      </c>
      <c r="K75" s="314" t="str">
        <f t="shared" si="6"/>
        <v>FGBSM8</v>
      </c>
      <c r="L75" s="314" t="str">
        <f t="shared" si="7"/>
        <v>FGBSM8</v>
      </c>
      <c r="M75" s="360" t="s">
        <v>1835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957" t="s">
        <v>1855</v>
      </c>
      <c r="B76" s="927">
        <v>44200</v>
      </c>
      <c r="C76" s="920" t="s">
        <v>465</v>
      </c>
      <c r="D76" s="920" t="s">
        <v>639</v>
      </c>
      <c r="E76" s="969">
        <v>1.3220000000000001</v>
      </c>
      <c r="F76" s="928">
        <v>13.22</v>
      </c>
      <c r="G76" s="922" t="s">
        <v>1835</v>
      </c>
      <c r="H76" s="922" t="s">
        <v>1835</v>
      </c>
      <c r="I76" s="256" t="str">
        <f t="shared" si="4"/>
        <v>DE0001135424</v>
      </c>
      <c r="J76" s="256" t="str">
        <f t="shared" si="5"/>
        <v>DE0001135424</v>
      </c>
      <c r="K76" s="314" t="str">
        <f t="shared" si="6"/>
        <v>FGBSM8</v>
      </c>
      <c r="L76" s="314" t="str">
        <f t="shared" si="7"/>
        <v>FGBSM8</v>
      </c>
      <c r="M76" s="360" t="s">
        <v>1835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957" t="s">
        <v>1856</v>
      </c>
      <c r="B77" s="927">
        <v>44295</v>
      </c>
      <c r="C77" s="929" t="s">
        <v>791</v>
      </c>
      <c r="D77" s="929" t="s">
        <v>792</v>
      </c>
      <c r="E77" s="969">
        <v>1.3740000000000001</v>
      </c>
      <c r="F77" s="928">
        <v>13.740000000000002</v>
      </c>
      <c r="G77" s="922" t="s">
        <v>1835</v>
      </c>
      <c r="H77" s="922" t="s">
        <v>1835</v>
      </c>
      <c r="I77" s="256" t="str">
        <f t="shared" si="4"/>
        <v>DE0001141737</v>
      </c>
      <c r="J77" s="256" t="str">
        <f t="shared" si="5"/>
        <v>DE0001141737</v>
      </c>
      <c r="K77" s="314" t="str">
        <f t="shared" si="6"/>
        <v>FGBSM8</v>
      </c>
      <c r="L77" s="314" t="str">
        <f t="shared" si="7"/>
        <v>FGBSM8</v>
      </c>
      <c r="M77" s="360" t="s">
        <v>1835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957" t="s">
        <v>1857</v>
      </c>
      <c r="B78" s="927">
        <v>44381</v>
      </c>
      <c r="C78" s="920" t="s">
        <v>466</v>
      </c>
      <c r="D78" s="920" t="s">
        <v>640</v>
      </c>
      <c r="E78" s="972">
        <v>0.57699999999999996</v>
      </c>
      <c r="F78" s="928">
        <v>5.77</v>
      </c>
      <c r="G78" s="922" t="s">
        <v>1807</v>
      </c>
      <c r="H78" s="922" t="s">
        <v>1807</v>
      </c>
      <c r="I78" s="256" t="str">
        <f t="shared" si="4"/>
        <v>DE0001135440</v>
      </c>
      <c r="J78" s="256" t="str">
        <f t="shared" si="5"/>
        <v>DE0001135440</v>
      </c>
      <c r="K78" s="314" t="str">
        <f t="shared" si="6"/>
        <v>FGBMM8</v>
      </c>
      <c r="L78" s="314" t="str">
        <f t="shared" si="7"/>
        <v>FGBMM8</v>
      </c>
      <c r="M78" s="360" t="s">
        <v>1807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957" t="s">
        <v>1858</v>
      </c>
      <c r="B79" s="927">
        <v>44443</v>
      </c>
      <c r="C79" s="920" t="s">
        <v>467</v>
      </c>
      <c r="D79" s="920" t="s">
        <v>641</v>
      </c>
      <c r="E79" s="972">
        <v>0.59399999999999997</v>
      </c>
      <c r="F79" s="928">
        <v>5.9399999999999995</v>
      </c>
      <c r="G79" s="922" t="s">
        <v>1807</v>
      </c>
      <c r="H79" s="922" t="s">
        <v>1807</v>
      </c>
      <c r="I79" s="256" t="str">
        <f t="shared" si="4"/>
        <v>DE0001135457</v>
      </c>
      <c r="J79" s="256" t="str">
        <f t="shared" si="5"/>
        <v>DE0001135457</v>
      </c>
      <c r="K79" s="314" t="str">
        <f t="shared" si="6"/>
        <v>FGBMM8</v>
      </c>
      <c r="L79" s="314" t="str">
        <f t="shared" si="7"/>
        <v>FGBMM8</v>
      </c>
      <c r="M79" s="360" t="s">
        <v>1807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957" t="s">
        <v>1859</v>
      </c>
      <c r="B80" s="927">
        <v>44477</v>
      </c>
      <c r="C80" s="929" t="s">
        <v>874</v>
      </c>
      <c r="D80" s="929" t="s">
        <v>879</v>
      </c>
      <c r="E80" s="972">
        <v>0.57899999999999996</v>
      </c>
      <c r="F80" s="928">
        <v>5.7899999999999991</v>
      </c>
      <c r="G80" s="922" t="s">
        <v>1807</v>
      </c>
      <c r="H80" s="922" t="s">
        <v>1807</v>
      </c>
      <c r="I80" s="256" t="str">
        <f t="shared" si="4"/>
        <v>DE0001141745</v>
      </c>
      <c r="J80" s="256" t="str">
        <f t="shared" si="5"/>
        <v>DE0001141745</v>
      </c>
      <c r="K80" s="314" t="str">
        <f t="shared" si="6"/>
        <v>FGBMM8</v>
      </c>
      <c r="L80" s="314" t="str">
        <f t="shared" si="7"/>
        <v>FGBMM8</v>
      </c>
      <c r="M80" s="360" t="s">
        <v>1807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957" t="s">
        <v>1860</v>
      </c>
      <c r="B81" s="927">
        <v>44565</v>
      </c>
      <c r="C81" s="920" t="s">
        <v>468</v>
      </c>
      <c r="D81" s="920" t="s">
        <v>642</v>
      </c>
      <c r="E81" s="972">
        <v>0.64600000000000002</v>
      </c>
      <c r="F81" s="928">
        <v>6.46</v>
      </c>
      <c r="G81" s="922" t="s">
        <v>1807</v>
      </c>
      <c r="H81" s="922" t="s">
        <v>1807</v>
      </c>
      <c r="I81" s="261" t="str">
        <f t="shared" si="4"/>
        <v>DE0001135465</v>
      </c>
      <c r="J81" s="261" t="str">
        <f t="shared" si="5"/>
        <v>DE0001135465</v>
      </c>
      <c r="K81" s="314" t="str">
        <f t="shared" si="6"/>
        <v>FGBMM8</v>
      </c>
      <c r="L81" s="317" t="str">
        <f t="shared" si="7"/>
        <v>FGBMM8</v>
      </c>
      <c r="M81" s="360" t="s">
        <v>1807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957" t="s">
        <v>1861</v>
      </c>
      <c r="B82" s="927">
        <v>44659</v>
      </c>
      <c r="C82" s="920" t="s">
        <v>916</v>
      </c>
      <c r="D82" s="930" t="s">
        <v>917</v>
      </c>
      <c r="E82" s="972">
        <v>0.65600000000000003</v>
      </c>
      <c r="F82" s="928">
        <v>6.5600000000000005</v>
      </c>
      <c r="G82" s="922" t="s">
        <v>1807</v>
      </c>
      <c r="H82" s="922" t="s">
        <v>1807</v>
      </c>
      <c r="I82" s="256" t="str">
        <f t="shared" si="4"/>
        <v>DE0001141752</v>
      </c>
      <c r="J82" s="256" t="str">
        <f t="shared" si="5"/>
        <v>DE0001141752</v>
      </c>
      <c r="K82" s="314" t="str">
        <f t="shared" si="6"/>
        <v>FGBMM8</v>
      </c>
      <c r="L82" s="314" t="str">
        <f t="shared" si="7"/>
        <v>FGBMM8</v>
      </c>
      <c r="M82" s="360" t="s">
        <v>1807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957" t="s">
        <v>1862</v>
      </c>
      <c r="B83" s="927">
        <v>44746</v>
      </c>
      <c r="C83" s="920" t="s">
        <v>469</v>
      </c>
      <c r="D83" s="920" t="s">
        <v>643</v>
      </c>
      <c r="E83" s="972">
        <v>0.72599999999999998</v>
      </c>
      <c r="F83" s="928">
        <v>7.26</v>
      </c>
      <c r="G83" s="922" t="s">
        <v>1807</v>
      </c>
      <c r="H83" s="922" t="s">
        <v>1807</v>
      </c>
      <c r="I83" s="256" t="str">
        <f t="shared" si="4"/>
        <v>DE0001135473</v>
      </c>
      <c r="J83" s="256" t="str">
        <f t="shared" si="5"/>
        <v>DE0001135473</v>
      </c>
      <c r="K83" s="314" t="str">
        <f t="shared" si="6"/>
        <v>FGBMM8</v>
      </c>
      <c r="L83" s="314" t="str">
        <f t="shared" si="7"/>
        <v>FGBMM8</v>
      </c>
      <c r="M83" s="360" t="s">
        <v>1807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957" t="s">
        <v>1863</v>
      </c>
      <c r="B84" s="927">
        <v>44808</v>
      </c>
      <c r="C84" s="920" t="s">
        <v>470</v>
      </c>
      <c r="D84" s="920" t="s">
        <v>644</v>
      </c>
      <c r="E84" s="972">
        <v>0.749</v>
      </c>
      <c r="F84" s="928">
        <v>7.49</v>
      </c>
      <c r="G84" s="922" t="s">
        <v>1807</v>
      </c>
      <c r="H84" s="922" t="s">
        <v>1807</v>
      </c>
      <c r="I84" s="256" t="str">
        <f t="shared" si="4"/>
        <v>DE0001135499</v>
      </c>
      <c r="J84" s="256" t="str">
        <f t="shared" si="5"/>
        <v>DE0001135499</v>
      </c>
      <c r="K84" s="314" t="str">
        <f t="shared" si="6"/>
        <v>FGBMM8</v>
      </c>
      <c r="L84" s="314" t="str">
        <f t="shared" si="7"/>
        <v>FGBMM8</v>
      </c>
      <c r="M84" s="360" t="s">
        <v>1807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957" t="s">
        <v>1864</v>
      </c>
      <c r="B85" s="927">
        <v>44841</v>
      </c>
      <c r="C85" s="935" t="s">
        <v>988</v>
      </c>
      <c r="D85" s="935" t="s">
        <v>989</v>
      </c>
      <c r="E85" s="972">
        <v>0.73099999999999998</v>
      </c>
      <c r="F85" s="928">
        <v>7.31</v>
      </c>
      <c r="G85" s="922" t="s">
        <v>1807</v>
      </c>
      <c r="H85" s="922" t="s">
        <v>1807</v>
      </c>
      <c r="I85" s="256" t="str">
        <f t="shared" si="4"/>
        <v>DE0001141760</v>
      </c>
      <c r="J85" s="256" t="str">
        <f t="shared" si="5"/>
        <v>DE0001141760</v>
      </c>
      <c r="K85" s="314" t="str">
        <f t="shared" si="6"/>
        <v>FGBMM8</v>
      </c>
      <c r="L85" s="314" t="str">
        <f t="shared" si="7"/>
        <v>FGBMM8</v>
      </c>
      <c r="M85" s="360" t="s">
        <v>1807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957" t="s">
        <v>1865</v>
      </c>
      <c r="B86" s="927">
        <v>44972</v>
      </c>
      <c r="C86" s="920" t="s">
        <v>471</v>
      </c>
      <c r="D86" s="920" t="s">
        <v>645</v>
      </c>
      <c r="E86" s="972">
        <v>0.820824</v>
      </c>
      <c r="F86" s="928">
        <v>8.20824</v>
      </c>
      <c r="G86" s="922" t="s">
        <v>1807</v>
      </c>
      <c r="H86" s="922" t="s">
        <v>1807</v>
      </c>
      <c r="I86" s="256" t="str">
        <f t="shared" si="4"/>
        <v>DE0001102309</v>
      </c>
      <c r="J86" s="256" t="str">
        <f t="shared" si="5"/>
        <v>DE0001102309</v>
      </c>
      <c r="K86" s="314" t="str">
        <f t="shared" si="6"/>
        <v>FGBMM8</v>
      </c>
      <c r="L86" s="314" t="str">
        <f t="shared" si="7"/>
        <v>FGBMM8</v>
      </c>
      <c r="M86" s="360" t="s">
        <v>1807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957" t="s">
        <v>1866</v>
      </c>
      <c r="B87" s="927">
        <v>45030</v>
      </c>
      <c r="C87" s="935" t="s">
        <v>1867</v>
      </c>
      <c r="D87" s="935" t="s">
        <v>1720</v>
      </c>
      <c r="E87" s="972">
        <v>0.75420900000000002</v>
      </c>
      <c r="F87" s="928">
        <v>8.08</v>
      </c>
      <c r="G87" s="922" t="s">
        <v>1807</v>
      </c>
      <c r="H87" s="922" t="s">
        <v>1807</v>
      </c>
      <c r="I87" s="256" t="str">
        <f t="shared" si="4"/>
        <v>DE0001141778</v>
      </c>
      <c r="J87" s="256" t="str">
        <f t="shared" si="5"/>
        <v>DE0001141778</v>
      </c>
      <c r="K87" s="314" t="str">
        <f t="shared" si="6"/>
        <v>FGBMM8</v>
      </c>
      <c r="L87" s="314" t="str">
        <f t="shared" si="7"/>
        <v>FGBMM8</v>
      </c>
      <c r="M87" s="360" t="s">
        <v>1807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957" t="s">
        <v>1868</v>
      </c>
      <c r="B88" s="927">
        <v>45061</v>
      </c>
      <c r="C88" s="940" t="s">
        <v>472</v>
      </c>
      <c r="D88" s="920" t="s">
        <v>646</v>
      </c>
      <c r="E88" s="972">
        <v>0.81283499999999997</v>
      </c>
      <c r="F88" s="928">
        <v>8.6</v>
      </c>
      <c r="G88" s="922" t="s">
        <v>1807</v>
      </c>
      <c r="H88" s="922" t="s">
        <v>1807</v>
      </c>
      <c r="I88" s="256" t="str">
        <f t="shared" si="4"/>
        <v>DE0001102317</v>
      </c>
      <c r="J88" s="256" t="str">
        <f t="shared" si="5"/>
        <v>DE0001102317</v>
      </c>
      <c r="K88" s="314" t="str">
        <f t="shared" si="6"/>
        <v>FGBMM8</v>
      </c>
      <c r="L88" s="314" t="str">
        <f t="shared" si="7"/>
        <v>FGBMM8</v>
      </c>
      <c r="M88" s="360" t="s">
        <v>1807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957" t="s">
        <v>1869</v>
      </c>
      <c r="B89" s="934">
        <v>45153</v>
      </c>
      <c r="C89" s="922" t="s">
        <v>473</v>
      </c>
      <c r="D89" s="922" t="s">
        <v>647</v>
      </c>
      <c r="E89" s="972">
        <v>0.82627700000000004</v>
      </c>
      <c r="F89" s="928">
        <v>9.14</v>
      </c>
      <c r="G89" s="922" t="s">
        <v>1807</v>
      </c>
      <c r="H89" s="922" t="s">
        <v>1807</v>
      </c>
      <c r="I89" s="256" t="str">
        <f t="shared" si="4"/>
        <v>DE0001102325</v>
      </c>
      <c r="J89" s="256" t="str">
        <f t="shared" si="5"/>
        <v>DE0001102325</v>
      </c>
      <c r="K89" s="314" t="str">
        <f t="shared" si="6"/>
        <v>FGBMM8</v>
      </c>
      <c r="L89" s="314" t="str">
        <f t="shared" si="7"/>
        <v>FGBMM8</v>
      </c>
      <c r="M89" s="360" t="s">
        <v>1807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957" t="s">
        <v>1870</v>
      </c>
      <c r="B90" s="927">
        <v>45295</v>
      </c>
      <c r="C90" s="920" t="s">
        <v>474</v>
      </c>
      <c r="D90" s="920" t="s">
        <v>648</v>
      </c>
      <c r="E90" s="972">
        <v>1.1120000000000001</v>
      </c>
      <c r="F90" s="928">
        <v>11.120000000000001</v>
      </c>
      <c r="G90" s="922" t="s">
        <v>1807</v>
      </c>
      <c r="H90" s="922" t="s">
        <v>1807</v>
      </c>
      <c r="I90" s="256" t="str">
        <f t="shared" si="4"/>
        <v>DE0001134922</v>
      </c>
      <c r="J90" s="256" t="str">
        <f t="shared" si="5"/>
        <v>DE0001134922</v>
      </c>
      <c r="K90" s="314" t="str">
        <f t="shared" si="6"/>
        <v>FGBMM8</v>
      </c>
      <c r="L90" s="314" t="str">
        <f t="shared" si="7"/>
        <v>FGBMM8</v>
      </c>
      <c r="M90" s="360" t="s">
        <v>1807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957" t="s">
        <v>1871</v>
      </c>
      <c r="B91" s="934">
        <v>45337</v>
      </c>
      <c r="C91" s="922" t="s">
        <v>475</v>
      </c>
      <c r="D91" s="920" t="s">
        <v>409</v>
      </c>
      <c r="E91" s="972">
        <v>0.98799999999999999</v>
      </c>
      <c r="F91" s="928">
        <v>9.879999999999999</v>
      </c>
      <c r="G91" s="922" t="s">
        <v>1807</v>
      </c>
      <c r="H91" s="922" t="s">
        <v>1807</v>
      </c>
      <c r="I91" s="256" t="str">
        <f t="shared" si="4"/>
        <v>DE0001102333</v>
      </c>
      <c r="J91" s="256" t="str">
        <f t="shared" si="5"/>
        <v>DE0001102333</v>
      </c>
      <c r="K91" s="314" t="str">
        <f t="shared" si="6"/>
        <v>FGBMM8</v>
      </c>
      <c r="L91" s="314" t="str">
        <f t="shared" si="7"/>
        <v>FGBMM8</v>
      </c>
      <c r="M91" s="360" t="s">
        <v>1807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957" t="s">
        <v>1872</v>
      </c>
      <c r="B92" s="934">
        <v>45427</v>
      </c>
      <c r="C92" s="922" t="s">
        <v>476</v>
      </c>
      <c r="D92" s="931" t="s">
        <v>410</v>
      </c>
      <c r="E92" s="972">
        <v>1.018</v>
      </c>
      <c r="F92" s="928">
        <v>10.18</v>
      </c>
      <c r="G92" s="922" t="s">
        <v>1807</v>
      </c>
      <c r="H92" s="922" t="s">
        <v>1807</v>
      </c>
      <c r="I92" s="256" t="str">
        <f t="shared" si="4"/>
        <v>DE0001102358</v>
      </c>
      <c r="J92" s="256" t="str">
        <f t="shared" si="5"/>
        <v>DE0001102358</v>
      </c>
      <c r="K92" s="314" t="str">
        <f t="shared" si="6"/>
        <v>FGBMM8</v>
      </c>
      <c r="L92" s="314" t="str">
        <f t="shared" si="7"/>
        <v>FGBMM8</v>
      </c>
      <c r="M92" s="360" t="s">
        <v>1807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957" t="s">
        <v>1873</v>
      </c>
      <c r="B93" s="934">
        <v>45519</v>
      </c>
      <c r="C93" s="922" t="s">
        <v>574</v>
      </c>
      <c r="D93" s="931" t="s">
        <v>411</v>
      </c>
      <c r="E93" s="972">
        <v>1.0389999999999999</v>
      </c>
      <c r="F93" s="928">
        <v>10.389999999999999</v>
      </c>
      <c r="G93" s="922" t="s">
        <v>1807</v>
      </c>
      <c r="H93" s="922" t="s">
        <v>1807</v>
      </c>
      <c r="I93" s="256" t="str">
        <f t="shared" si="4"/>
        <v>DE0001102366</v>
      </c>
      <c r="J93" s="256" t="str">
        <f t="shared" si="5"/>
        <v>DE0001102366</v>
      </c>
      <c r="K93" s="314" t="str">
        <f t="shared" si="6"/>
        <v>FGBMM8</v>
      </c>
      <c r="L93" s="314" t="str">
        <f t="shared" si="7"/>
        <v>FGBMM8</v>
      </c>
      <c r="M93" s="360" t="s">
        <v>1807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957" t="s">
        <v>1874</v>
      </c>
      <c r="B94" s="934">
        <v>45703</v>
      </c>
      <c r="C94" s="936" t="s">
        <v>575</v>
      </c>
      <c r="D94" s="929" t="s">
        <v>576</v>
      </c>
      <c r="E94" s="972">
        <v>1.0920000000000001</v>
      </c>
      <c r="F94" s="928">
        <v>10.920000000000002</v>
      </c>
      <c r="G94" s="922" t="s">
        <v>1807</v>
      </c>
      <c r="H94" s="922" t="s">
        <v>1807</v>
      </c>
      <c r="I94" s="256" t="str">
        <f t="shared" si="4"/>
        <v>DE0001102374</v>
      </c>
      <c r="J94" s="256" t="str">
        <f t="shared" si="5"/>
        <v>DE0001102374</v>
      </c>
      <c r="K94" s="314" t="str">
        <f t="shared" si="6"/>
        <v>FGBMM8</v>
      </c>
      <c r="L94" s="314" t="str">
        <f t="shared" si="7"/>
        <v>FGBMM8</v>
      </c>
      <c r="M94" s="360" t="s">
        <v>1807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957" t="s">
        <v>1875</v>
      </c>
      <c r="B95" s="934">
        <v>45884</v>
      </c>
      <c r="C95" s="929" t="s">
        <v>747</v>
      </c>
      <c r="D95" s="929" t="s">
        <v>741</v>
      </c>
      <c r="E95" s="973">
        <v>0.54500000000000004</v>
      </c>
      <c r="F95" s="928">
        <v>5.45</v>
      </c>
      <c r="G95" s="922" t="s">
        <v>1827</v>
      </c>
      <c r="H95" s="922" t="s">
        <v>1827</v>
      </c>
      <c r="I95" s="256" t="str">
        <f t="shared" si="4"/>
        <v>DE0001102382</v>
      </c>
      <c r="J95" s="256" t="str">
        <f t="shared" si="5"/>
        <v>DE0001102382</v>
      </c>
      <c r="K95" s="314" t="str">
        <f t="shared" si="6"/>
        <v>FGBLM8</v>
      </c>
      <c r="L95" s="314" t="str">
        <f t="shared" si="7"/>
        <v>FGBLM8</v>
      </c>
      <c r="M95" s="360" t="s">
        <v>1827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957" t="s">
        <v>1876</v>
      </c>
      <c r="B96" s="934">
        <v>46068</v>
      </c>
      <c r="C96" s="929" t="s">
        <v>793</v>
      </c>
      <c r="D96" s="929" t="s">
        <v>794</v>
      </c>
      <c r="E96" s="973">
        <v>0.56599999999999995</v>
      </c>
      <c r="F96" s="928">
        <v>5.6599999999999993</v>
      </c>
      <c r="G96" s="922" t="s">
        <v>1827</v>
      </c>
      <c r="H96" s="922" t="s">
        <v>1827</v>
      </c>
      <c r="I96" s="261" t="str">
        <f t="shared" si="4"/>
        <v>DE0001102390</v>
      </c>
      <c r="J96" s="261" t="str">
        <f t="shared" si="5"/>
        <v>DE0001102390</v>
      </c>
      <c r="K96" s="314" t="str">
        <f t="shared" si="6"/>
        <v>FGBLM8</v>
      </c>
      <c r="L96" s="317" t="str">
        <f t="shared" si="7"/>
        <v>FGBLM8</v>
      </c>
      <c r="M96" s="360" t="s">
        <v>1827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957" t="s">
        <v>1877</v>
      </c>
      <c r="B97" s="934">
        <v>46249</v>
      </c>
      <c r="C97" s="929" t="s">
        <v>875</v>
      </c>
      <c r="D97" s="929" t="s">
        <v>880</v>
      </c>
      <c r="E97" s="973">
        <v>0.58199999999999996</v>
      </c>
      <c r="F97" s="928">
        <v>5.8199999999999994</v>
      </c>
      <c r="G97" s="922" t="s">
        <v>1827</v>
      </c>
      <c r="H97" s="922" t="s">
        <v>1827</v>
      </c>
      <c r="I97" s="256" t="str">
        <f t="shared" si="4"/>
        <v>DE0001102408</v>
      </c>
      <c r="J97" s="256" t="str">
        <f t="shared" si="5"/>
        <v>DE0001102408</v>
      </c>
      <c r="K97" s="314" t="str">
        <f t="shared" si="6"/>
        <v>FGBLM8</v>
      </c>
      <c r="L97" s="314" t="str">
        <f t="shared" si="7"/>
        <v>FGBLM8</v>
      </c>
      <c r="M97" s="360" t="s">
        <v>1827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957" t="s">
        <v>1878</v>
      </c>
      <c r="B98" s="934">
        <v>46433</v>
      </c>
      <c r="C98" s="930" t="s">
        <v>918</v>
      </c>
      <c r="D98" s="929" t="s">
        <v>919</v>
      </c>
      <c r="E98" s="973">
        <v>0.61948899999999996</v>
      </c>
      <c r="F98" s="928">
        <v>6.1948899999999991</v>
      </c>
      <c r="G98" s="922" t="s">
        <v>1827</v>
      </c>
      <c r="H98" s="922" t="s">
        <v>1827</v>
      </c>
      <c r="I98" s="256" t="str">
        <f t="shared" si="4"/>
        <v>DE0001102416</v>
      </c>
      <c r="J98" s="256" t="str">
        <f t="shared" si="5"/>
        <v>DE0001102416</v>
      </c>
      <c r="K98" s="314" t="str">
        <f t="shared" si="6"/>
        <v>FGBLM8</v>
      </c>
      <c r="L98" s="314" t="str">
        <f t="shared" si="7"/>
        <v>FGBLM8</v>
      </c>
      <c r="M98" s="360" t="s">
        <v>1827</v>
      </c>
    </row>
    <row r="99" spans="1:152" ht="16.5" thickBot="1">
      <c r="A99" s="957" t="s">
        <v>1879</v>
      </c>
      <c r="B99" s="934">
        <v>46572</v>
      </c>
      <c r="C99" s="922" t="s">
        <v>477</v>
      </c>
      <c r="D99" s="920" t="s">
        <v>649</v>
      </c>
      <c r="E99" s="973">
        <v>0.85299999999999998</v>
      </c>
      <c r="F99" s="928">
        <v>8.5299999999999994</v>
      </c>
      <c r="G99" s="922" t="s">
        <v>1827</v>
      </c>
      <c r="H99" s="922" t="s">
        <v>1827</v>
      </c>
      <c r="I99" s="256" t="str">
        <f t="shared" si="4"/>
        <v>DE0001135044</v>
      </c>
      <c r="J99" s="256" t="str">
        <f t="shared" si="5"/>
        <v>DE0001135044</v>
      </c>
      <c r="K99" s="314" t="str">
        <f t="shared" si="6"/>
        <v>FGBLM8</v>
      </c>
      <c r="L99" s="314" t="str">
        <f t="shared" si="7"/>
        <v>FGBLM8</v>
      </c>
      <c r="M99" s="360" t="s">
        <v>1827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957" t="s">
        <v>1880</v>
      </c>
      <c r="B100" s="934">
        <v>46614</v>
      </c>
      <c r="C100" s="935" t="s">
        <v>990</v>
      </c>
      <c r="D100" s="935" t="s">
        <v>991</v>
      </c>
      <c r="E100" s="973">
        <v>0.62028000000000005</v>
      </c>
      <c r="F100" s="928">
        <v>6.56</v>
      </c>
      <c r="G100" s="922" t="s">
        <v>1827</v>
      </c>
      <c r="H100" s="922" t="s">
        <v>1827</v>
      </c>
      <c r="I100" s="256" t="str">
        <f t="shared" si="4"/>
        <v>DE0001102424</v>
      </c>
      <c r="J100" s="256" t="str">
        <f t="shared" si="5"/>
        <v>DE0001102424</v>
      </c>
      <c r="K100" s="314" t="str">
        <f t="shared" si="6"/>
        <v>FGBLM8</v>
      </c>
      <c r="L100" s="314" t="str">
        <f t="shared" si="7"/>
        <v>FGBLM8</v>
      </c>
      <c r="M100" s="360" t="s">
        <v>1827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957" t="s">
        <v>1881</v>
      </c>
      <c r="B101" s="934">
        <v>46756</v>
      </c>
      <c r="C101" s="922" t="s">
        <v>478</v>
      </c>
      <c r="D101" s="920" t="s">
        <v>650</v>
      </c>
      <c r="E101" s="973">
        <v>0.86899999999999999</v>
      </c>
      <c r="F101" s="928">
        <v>8.69</v>
      </c>
      <c r="G101" s="922" t="s">
        <v>1827</v>
      </c>
      <c r="H101" s="922" t="s">
        <v>1827</v>
      </c>
      <c r="I101" s="256" t="str">
        <f t="shared" si="4"/>
        <v>DE0001135069</v>
      </c>
      <c r="J101" s="256" t="str">
        <f t="shared" si="5"/>
        <v>DE0001135069</v>
      </c>
      <c r="K101" s="314" t="str">
        <f t="shared" si="6"/>
        <v>FGBLM8</v>
      </c>
      <c r="L101" s="314" t="str">
        <f t="shared" si="7"/>
        <v>FGBLM8</v>
      </c>
      <c r="M101" s="360" t="s">
        <v>1827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957" t="s">
        <v>1882</v>
      </c>
      <c r="B102" s="934">
        <v>46798</v>
      </c>
      <c r="C102" s="922" t="s">
        <v>1883</v>
      </c>
      <c r="D102" s="935" t="s">
        <v>1701</v>
      </c>
      <c r="E102" s="973">
        <v>0.60471299999999995</v>
      </c>
      <c r="F102" s="928">
        <v>6.86</v>
      </c>
      <c r="G102" s="922" t="s">
        <v>1827</v>
      </c>
      <c r="H102" s="922" t="s">
        <v>1827</v>
      </c>
      <c r="I102" s="256" t="str">
        <f t="shared" si="4"/>
        <v>DE0001102440</v>
      </c>
      <c r="J102" s="256" t="str">
        <f t="shared" si="5"/>
        <v>DE0001102440</v>
      </c>
      <c r="K102" s="314" t="str">
        <f t="shared" si="6"/>
        <v>FGBLM8</v>
      </c>
      <c r="L102" s="314" t="str">
        <f t="shared" si="7"/>
        <v>FGBLM8</v>
      </c>
      <c r="M102" s="360" t="s">
        <v>1827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957" t="s">
        <v>1884</v>
      </c>
      <c r="B103" s="934">
        <v>46938</v>
      </c>
      <c r="C103" s="922" t="s">
        <v>479</v>
      </c>
      <c r="D103" s="920" t="s">
        <v>651</v>
      </c>
      <c r="E103" s="973">
        <v>0.88200000000000001</v>
      </c>
      <c r="F103" s="928">
        <v>8.82</v>
      </c>
      <c r="G103" s="922" t="s">
        <v>1827</v>
      </c>
      <c r="H103" s="922" t="s">
        <v>1827</v>
      </c>
      <c r="I103" s="256" t="str">
        <f t="shared" si="4"/>
        <v>DE0001135085</v>
      </c>
      <c r="J103" s="256" t="str">
        <f t="shared" si="5"/>
        <v>DE0001135085</v>
      </c>
      <c r="K103" s="314" t="str">
        <f t="shared" si="6"/>
        <v>FGBLM8</v>
      </c>
      <c r="L103" s="314" t="str">
        <f t="shared" si="7"/>
        <v>FGBLM8</v>
      </c>
      <c r="M103" s="360" t="s">
        <v>1827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957" t="s">
        <v>1885</v>
      </c>
      <c r="B104" s="934">
        <v>47487</v>
      </c>
      <c r="C104" s="922" t="s">
        <v>480</v>
      </c>
      <c r="D104" s="920" t="s">
        <v>652</v>
      </c>
      <c r="E104" s="973">
        <v>1.0960000000000001</v>
      </c>
      <c r="F104" s="928">
        <v>10.96</v>
      </c>
      <c r="G104" s="922" t="s">
        <v>1827</v>
      </c>
      <c r="H104" s="922" t="s">
        <v>1827</v>
      </c>
      <c r="I104" s="256" t="str">
        <f t="shared" si="4"/>
        <v>DE0001135143</v>
      </c>
      <c r="J104" s="256" t="str">
        <f t="shared" si="5"/>
        <v>DE0001135143</v>
      </c>
      <c r="K104" s="314" t="str">
        <f t="shared" si="6"/>
        <v>FGBLM8</v>
      </c>
      <c r="L104" s="314" t="str">
        <f t="shared" si="7"/>
        <v>FGBLM8</v>
      </c>
      <c r="M104" s="360" t="s">
        <v>1827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957" t="s">
        <v>1886</v>
      </c>
      <c r="B105" s="934">
        <v>47852</v>
      </c>
      <c r="C105" s="922" t="s">
        <v>481</v>
      </c>
      <c r="D105" s="920" t="s">
        <v>653</v>
      </c>
      <c r="E105" s="973">
        <v>1.151</v>
      </c>
      <c r="F105" s="928">
        <v>11.51</v>
      </c>
      <c r="G105" s="922" t="s">
        <v>1827</v>
      </c>
      <c r="H105" s="922" t="s">
        <v>1827</v>
      </c>
      <c r="I105" s="256" t="str">
        <f t="shared" si="4"/>
        <v>DE0001135176</v>
      </c>
      <c r="J105" s="256" t="str">
        <f t="shared" si="5"/>
        <v>DE0001135176</v>
      </c>
      <c r="K105" s="314" t="str">
        <f t="shared" si="6"/>
        <v>FGBLM8</v>
      </c>
      <c r="L105" s="314" t="str">
        <f t="shared" si="7"/>
        <v>FGBLM8</v>
      </c>
      <c r="M105" s="360" t="s">
        <v>1827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957" t="s">
        <v>1887</v>
      </c>
      <c r="B106" s="934">
        <v>49129</v>
      </c>
      <c r="C106" s="922" t="s">
        <v>482</v>
      </c>
      <c r="D106" s="920" t="s">
        <v>654</v>
      </c>
      <c r="E106" s="943">
        <v>1.42</v>
      </c>
      <c r="F106" s="928">
        <v>14.2</v>
      </c>
      <c r="G106" s="922" t="s">
        <v>1827</v>
      </c>
      <c r="H106" s="922" t="s">
        <v>1827</v>
      </c>
      <c r="I106" s="256" t="str">
        <f t="shared" si="4"/>
        <v>DE0001135226</v>
      </c>
      <c r="J106" s="256" t="str">
        <f t="shared" si="5"/>
        <v>DE0001135226</v>
      </c>
      <c r="K106" s="314" t="str">
        <f t="shared" si="6"/>
        <v>FGBLM8</v>
      </c>
      <c r="L106" s="314" t="str">
        <f t="shared" si="7"/>
        <v>FGBLM8</v>
      </c>
      <c r="M106" s="360" t="s">
        <v>1827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957" t="s">
        <v>1888</v>
      </c>
      <c r="B107" s="934">
        <v>49129</v>
      </c>
      <c r="C107" s="922" t="s">
        <v>482</v>
      </c>
      <c r="D107" s="920" t="s">
        <v>654</v>
      </c>
      <c r="E107" s="952">
        <v>0.67500000000000004</v>
      </c>
      <c r="F107" s="928">
        <v>6.75</v>
      </c>
      <c r="G107" s="922" t="s">
        <v>2070</v>
      </c>
      <c r="H107" s="922" t="s">
        <v>2070</v>
      </c>
      <c r="I107" s="256" t="str">
        <f t="shared" si="4"/>
        <v>DE0001135226</v>
      </c>
      <c r="J107" s="256" t="str">
        <f t="shared" si="5"/>
        <v>DE0001135226</v>
      </c>
      <c r="K107" s="314" t="str">
        <f t="shared" si="6"/>
        <v>FGBXM8</v>
      </c>
      <c r="L107" s="314" t="str">
        <f t="shared" si="7"/>
        <v>FGBXM8</v>
      </c>
      <c r="M107" s="360" t="s">
        <v>2070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957" t="s">
        <v>1889</v>
      </c>
      <c r="B108" s="934">
        <v>50044</v>
      </c>
      <c r="C108" s="922" t="s">
        <v>483</v>
      </c>
      <c r="D108" s="920" t="s">
        <v>655</v>
      </c>
      <c r="E108" s="933">
        <v>1.5580000000000001</v>
      </c>
      <c r="F108" s="928">
        <v>15.58</v>
      </c>
      <c r="G108" s="922" t="s">
        <v>1827</v>
      </c>
      <c r="H108" s="922" t="s">
        <v>1827</v>
      </c>
      <c r="I108" s="256" t="str">
        <f t="shared" si="4"/>
        <v>DE0001135275</v>
      </c>
      <c r="J108" s="256" t="str">
        <f t="shared" si="5"/>
        <v>DE0001135275</v>
      </c>
      <c r="K108" s="314" t="str">
        <f t="shared" si="6"/>
        <v>FGBLM8</v>
      </c>
      <c r="L108" s="314" t="str">
        <f t="shared" si="7"/>
        <v>FGBLM8</v>
      </c>
      <c r="M108" s="360" t="s">
        <v>1827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957" t="s">
        <v>1890</v>
      </c>
      <c r="B109" s="934">
        <v>50044</v>
      </c>
      <c r="C109" s="922" t="s">
        <v>483</v>
      </c>
      <c r="D109" s="920" t="s">
        <v>655</v>
      </c>
      <c r="E109" s="953">
        <v>0.74099999999999999</v>
      </c>
      <c r="F109" s="928">
        <v>7.41</v>
      </c>
      <c r="G109" s="922" t="s">
        <v>2070</v>
      </c>
      <c r="H109" s="922" t="s">
        <v>2070</v>
      </c>
      <c r="I109" s="256" t="str">
        <f t="shared" si="4"/>
        <v>DE0001135275</v>
      </c>
      <c r="J109" s="256" t="str">
        <f t="shared" si="5"/>
        <v>DE0001135275</v>
      </c>
      <c r="K109" s="314" t="str">
        <f t="shared" si="6"/>
        <v>FGBXM8</v>
      </c>
      <c r="L109" s="314" t="str">
        <f t="shared" si="7"/>
        <v>FGBXM8</v>
      </c>
      <c r="M109" s="360" t="s">
        <v>2070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957" t="s">
        <v>1891</v>
      </c>
      <c r="B110" s="934">
        <v>50955</v>
      </c>
      <c r="C110" s="922" t="s">
        <v>484</v>
      </c>
      <c r="D110" s="920" t="s">
        <v>656</v>
      </c>
      <c r="E110" s="933">
        <v>1.798</v>
      </c>
      <c r="F110" s="928">
        <v>17.98</v>
      </c>
      <c r="G110" s="922" t="s">
        <v>1827</v>
      </c>
      <c r="H110" s="922" t="s">
        <v>1827</v>
      </c>
      <c r="I110" s="256" t="str">
        <f t="shared" si="4"/>
        <v>DE0001135325</v>
      </c>
      <c r="J110" s="256" t="str">
        <f t="shared" si="5"/>
        <v>DE0001135325</v>
      </c>
      <c r="K110" s="314" t="str">
        <f t="shared" si="6"/>
        <v>FGBLM8</v>
      </c>
      <c r="L110" s="314" t="str">
        <f t="shared" si="7"/>
        <v>FGBLM8</v>
      </c>
      <c r="M110" s="360" t="s">
        <v>1827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957" t="s">
        <v>1892</v>
      </c>
      <c r="B111" s="934">
        <v>50955</v>
      </c>
      <c r="C111" s="922" t="s">
        <v>484</v>
      </c>
      <c r="D111" s="920" t="s">
        <v>656</v>
      </c>
      <c r="E111" s="954">
        <v>0.85499999999999998</v>
      </c>
      <c r="F111" s="928">
        <v>8.5500000000000007</v>
      </c>
      <c r="G111" s="922" t="s">
        <v>2070</v>
      </c>
      <c r="H111" s="922" t="s">
        <v>2070</v>
      </c>
      <c r="I111" s="256" t="str">
        <f t="shared" si="4"/>
        <v>DE0001135325</v>
      </c>
      <c r="J111" s="256" t="str">
        <f t="shared" si="5"/>
        <v>DE0001135325</v>
      </c>
      <c r="K111" s="314" t="str">
        <f t="shared" si="6"/>
        <v>FGBXM8</v>
      </c>
      <c r="L111" s="314" t="str">
        <f t="shared" si="7"/>
        <v>FGBXM8</v>
      </c>
      <c r="M111" s="360" t="s">
        <v>2070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957" t="s">
        <v>1893</v>
      </c>
      <c r="B112" s="934">
        <v>51321</v>
      </c>
      <c r="C112" s="922" t="s">
        <v>485</v>
      </c>
      <c r="D112" s="920" t="s">
        <v>657</v>
      </c>
      <c r="E112" s="944">
        <v>1.9630000000000001</v>
      </c>
      <c r="F112" s="928">
        <v>19.630000000000003</v>
      </c>
      <c r="G112" s="922" t="s">
        <v>1827</v>
      </c>
      <c r="H112" s="922" t="s">
        <v>1827</v>
      </c>
      <c r="I112" s="256" t="str">
        <f t="shared" si="4"/>
        <v>DE0001135366</v>
      </c>
      <c r="J112" s="256" t="str">
        <f t="shared" si="5"/>
        <v>DE0001135366</v>
      </c>
      <c r="K112" s="314" t="str">
        <f t="shared" si="6"/>
        <v>FGBLM8</v>
      </c>
      <c r="L112" s="314" t="str">
        <f t="shared" si="7"/>
        <v>FGBLM8</v>
      </c>
      <c r="M112" s="360" t="s">
        <v>1827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957" t="s">
        <v>1894</v>
      </c>
      <c r="B113" s="934">
        <v>51321</v>
      </c>
      <c r="C113" s="922" t="s">
        <v>485</v>
      </c>
      <c r="D113" s="920" t="s">
        <v>657</v>
      </c>
      <c r="E113" s="955">
        <v>0.93300000000000005</v>
      </c>
      <c r="F113" s="928">
        <v>9.33</v>
      </c>
      <c r="G113" s="922" t="s">
        <v>2070</v>
      </c>
      <c r="H113" s="922" t="s">
        <v>2070</v>
      </c>
      <c r="I113" s="256" t="str">
        <f t="shared" si="4"/>
        <v>DE0001135366</v>
      </c>
      <c r="J113" s="256" t="str">
        <f t="shared" si="5"/>
        <v>DE0001135366</v>
      </c>
      <c r="K113" s="314" t="str">
        <f t="shared" si="6"/>
        <v>FGBXM8</v>
      </c>
      <c r="L113" s="314" t="str">
        <f t="shared" si="7"/>
        <v>FGBXM8</v>
      </c>
      <c r="M113" s="360" t="s">
        <v>2070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957" t="s">
        <v>1895</v>
      </c>
      <c r="B114" s="934">
        <v>52051</v>
      </c>
      <c r="C114" s="922" t="s">
        <v>486</v>
      </c>
      <c r="D114" s="920" t="s">
        <v>658</v>
      </c>
      <c r="E114" s="974">
        <v>0.88542900000000002</v>
      </c>
      <c r="F114" s="928">
        <v>8.8542900000000007</v>
      </c>
      <c r="G114" s="922" t="s">
        <v>2070</v>
      </c>
      <c r="H114" s="922" t="s">
        <v>2070</v>
      </c>
      <c r="I114" s="256" t="str">
        <f t="shared" si="4"/>
        <v>DE0001135432</v>
      </c>
      <c r="J114" s="256" t="str">
        <f t="shared" si="5"/>
        <v>DE0001135432</v>
      </c>
      <c r="K114" s="314" t="str">
        <f t="shared" si="6"/>
        <v>FGBXM8</v>
      </c>
      <c r="L114" s="314" t="str">
        <f t="shared" si="7"/>
        <v>FGBXM8</v>
      </c>
      <c r="M114" s="360" t="s">
        <v>2070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957" t="s">
        <v>1896</v>
      </c>
      <c r="B115" s="934">
        <v>52782</v>
      </c>
      <c r="C115" s="922" t="s">
        <v>487</v>
      </c>
      <c r="D115" s="920" t="s">
        <v>659</v>
      </c>
      <c r="E115" s="974">
        <v>0.75989499999999999</v>
      </c>
      <c r="F115" s="928">
        <v>8.76</v>
      </c>
      <c r="G115" s="922" t="s">
        <v>2070</v>
      </c>
      <c r="H115" s="922" t="s">
        <v>2070</v>
      </c>
      <c r="I115" s="256" t="str">
        <f t="shared" si="4"/>
        <v>DE0001135481</v>
      </c>
      <c r="J115" s="256" t="str">
        <f t="shared" si="5"/>
        <v>DE0001135481</v>
      </c>
      <c r="K115" s="314" t="str">
        <f t="shared" si="6"/>
        <v>FGBXM8</v>
      </c>
      <c r="L115" s="314" t="str">
        <f t="shared" si="7"/>
        <v>FGBXM8</v>
      </c>
      <c r="M115" s="360" t="s">
        <v>2070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957" t="s">
        <v>1897</v>
      </c>
      <c r="B116" s="934">
        <v>53554</v>
      </c>
      <c r="C116" s="922" t="s">
        <v>488</v>
      </c>
      <c r="D116" s="920" t="s">
        <v>412</v>
      </c>
      <c r="E116" s="974">
        <v>0.749112</v>
      </c>
      <c r="F116" s="928">
        <v>9.39</v>
      </c>
      <c r="G116" s="922" t="s">
        <v>2070</v>
      </c>
      <c r="H116" s="922" t="s">
        <v>2070</v>
      </c>
      <c r="I116" s="256" t="str">
        <f t="shared" si="4"/>
        <v>DE0001102341</v>
      </c>
      <c r="J116" s="256" t="str">
        <f t="shared" si="5"/>
        <v>DE0001102341</v>
      </c>
      <c r="K116" s="314" t="str">
        <f t="shared" si="6"/>
        <v>FGBXM8</v>
      </c>
      <c r="L116" s="314" t="str">
        <f t="shared" si="7"/>
        <v>FGBXM8</v>
      </c>
      <c r="M116" s="360" t="s">
        <v>2070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957" t="s">
        <v>1898</v>
      </c>
      <c r="B117" s="934">
        <v>54285</v>
      </c>
      <c r="C117" s="922" t="s">
        <v>1685</v>
      </c>
      <c r="D117" s="935" t="s">
        <v>1636</v>
      </c>
      <c r="E117" s="974">
        <v>0.52295800000000003</v>
      </c>
      <c r="F117" s="928">
        <v>8.3699999999999992</v>
      </c>
      <c r="G117" s="922" t="s">
        <v>2070</v>
      </c>
      <c r="H117" s="922" t="s">
        <v>2070</v>
      </c>
      <c r="I117" s="256" t="str">
        <f t="shared" si="4"/>
        <v>DE0001102432</v>
      </c>
      <c r="J117" s="256" t="str">
        <f t="shared" si="5"/>
        <v>DE0001102432</v>
      </c>
      <c r="K117" s="314" t="str">
        <f t="shared" si="6"/>
        <v>FGBXM8</v>
      </c>
      <c r="L117" s="314" t="str">
        <f t="shared" si="7"/>
        <v>FGBXM8</v>
      </c>
      <c r="M117" s="360" t="s">
        <v>2070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932" t="s">
        <v>1899</v>
      </c>
      <c r="B118" s="927"/>
      <c r="C118" s="920"/>
      <c r="D118" s="920" t="s">
        <v>599</v>
      </c>
      <c r="E118" s="933"/>
      <c r="F118" s="928"/>
      <c r="G118" s="920" t="s">
        <v>599</v>
      </c>
      <c r="H118" s="920" t="s">
        <v>599</v>
      </c>
      <c r="I118" s="256" t="str">
        <f t="shared" si="4"/>
        <v/>
      </c>
      <c r="J118" s="256" t="str">
        <f t="shared" si="5"/>
        <v/>
      </c>
      <c r="K118" s="314" t="str">
        <f t="shared" si="6"/>
        <v/>
      </c>
      <c r="L118" s="314" t="str">
        <f t="shared" si="7"/>
        <v/>
      </c>
      <c r="M118" s="360" t="s">
        <v>599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957" t="s">
        <v>1900</v>
      </c>
      <c r="B119" s="927">
        <v>43358</v>
      </c>
      <c r="C119" s="920" t="s">
        <v>489</v>
      </c>
      <c r="D119" s="920" t="s">
        <v>660</v>
      </c>
      <c r="E119" s="975">
        <v>0.247</v>
      </c>
      <c r="F119" s="928">
        <v>2.4699999999999998</v>
      </c>
      <c r="G119" s="922" t="s">
        <v>1835</v>
      </c>
      <c r="H119" s="922" t="s">
        <v>1835</v>
      </c>
      <c r="I119" s="256" t="str">
        <f t="shared" si="4"/>
        <v>FI4000068663</v>
      </c>
      <c r="J119" s="256" t="str">
        <f t="shared" si="5"/>
        <v>FI4000068663</v>
      </c>
      <c r="K119" s="314" t="str">
        <f t="shared" si="6"/>
        <v>FGBSM8</v>
      </c>
      <c r="L119" s="314" t="str">
        <f t="shared" si="7"/>
        <v>FGBSM8</v>
      </c>
      <c r="M119" s="360" t="s">
        <v>1835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957" t="s">
        <v>1901</v>
      </c>
      <c r="B120" s="927">
        <v>43650</v>
      </c>
      <c r="C120" s="920" t="s">
        <v>490</v>
      </c>
      <c r="D120" s="920" t="s">
        <v>661</v>
      </c>
      <c r="E120" s="975">
        <v>0.63</v>
      </c>
      <c r="F120" s="928">
        <v>6.3</v>
      </c>
      <c r="G120" s="922" t="s">
        <v>1835</v>
      </c>
      <c r="H120" s="922" t="s">
        <v>1835</v>
      </c>
      <c r="I120" s="256" t="str">
        <f t="shared" si="4"/>
        <v>FI0001006306</v>
      </c>
      <c r="J120" s="256" t="str">
        <f t="shared" si="5"/>
        <v>FI0001006306</v>
      </c>
      <c r="K120" s="314" t="str">
        <f t="shared" si="6"/>
        <v>FGBSM8</v>
      </c>
      <c r="L120" s="314" t="str">
        <f t="shared" si="7"/>
        <v>FGBSM8</v>
      </c>
      <c r="M120" s="360" t="s">
        <v>1835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957" t="s">
        <v>1902</v>
      </c>
      <c r="B121" s="934">
        <v>43936</v>
      </c>
      <c r="C121" s="922" t="s">
        <v>491</v>
      </c>
      <c r="D121" s="922" t="s">
        <v>662</v>
      </c>
      <c r="E121" s="975">
        <v>0.99099999999999999</v>
      </c>
      <c r="F121" s="928">
        <v>9.91</v>
      </c>
      <c r="G121" s="922" t="s">
        <v>1835</v>
      </c>
      <c r="H121" s="922" t="s">
        <v>1835</v>
      </c>
      <c r="I121" s="256" t="str">
        <f t="shared" si="4"/>
        <v>FI4000010848</v>
      </c>
      <c r="J121" s="256" t="str">
        <f t="shared" si="5"/>
        <v>FI4000010848</v>
      </c>
      <c r="K121" s="314" t="str">
        <f t="shared" si="6"/>
        <v>FGBSM8</v>
      </c>
      <c r="L121" s="314" t="str">
        <f t="shared" si="7"/>
        <v>FGBSM8</v>
      </c>
      <c r="M121" s="360" t="s">
        <v>1835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957" t="s">
        <v>1903</v>
      </c>
      <c r="B122" s="934">
        <v>44089</v>
      </c>
      <c r="C122" s="922" t="s">
        <v>492</v>
      </c>
      <c r="D122" s="936" t="s">
        <v>413</v>
      </c>
      <c r="E122" s="975">
        <v>1.131</v>
      </c>
      <c r="F122" s="928">
        <v>11.31</v>
      </c>
      <c r="G122" s="922" t="s">
        <v>1835</v>
      </c>
      <c r="H122" s="922" t="s">
        <v>1835</v>
      </c>
      <c r="I122" s="256" t="str">
        <f t="shared" si="4"/>
        <v>FI4000106117</v>
      </c>
      <c r="J122" s="256" t="str">
        <f t="shared" si="5"/>
        <v>FI4000106117</v>
      </c>
      <c r="K122" s="314" t="str">
        <f t="shared" si="6"/>
        <v>FGBSM8</v>
      </c>
      <c r="L122" s="314" t="str">
        <f t="shared" si="7"/>
        <v>FGBSM8</v>
      </c>
      <c r="M122" s="360" t="s">
        <v>1835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957" t="s">
        <v>1904</v>
      </c>
      <c r="B123" s="934">
        <v>44301</v>
      </c>
      <c r="C123" s="922" t="s">
        <v>493</v>
      </c>
      <c r="D123" s="922" t="s">
        <v>663</v>
      </c>
      <c r="E123" s="975">
        <v>1.474</v>
      </c>
      <c r="F123" s="928">
        <v>14.74</v>
      </c>
      <c r="G123" s="922" t="s">
        <v>1835</v>
      </c>
      <c r="H123" s="922" t="s">
        <v>1835</v>
      </c>
      <c r="I123" s="256" t="str">
        <f t="shared" si="4"/>
        <v>FI4000020961</v>
      </c>
      <c r="J123" s="256" t="str">
        <f t="shared" si="5"/>
        <v>FI4000020961</v>
      </c>
      <c r="K123" s="314" t="str">
        <f t="shared" si="6"/>
        <v>FGBSM8</v>
      </c>
      <c r="L123" s="314" t="str">
        <f t="shared" si="7"/>
        <v>FGBSM8</v>
      </c>
      <c r="M123" s="360" t="s">
        <v>1835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957" t="s">
        <v>1905</v>
      </c>
      <c r="B124" s="934">
        <v>44666</v>
      </c>
      <c r="C124" s="935" t="s">
        <v>920</v>
      </c>
      <c r="D124" s="935" t="s">
        <v>921</v>
      </c>
      <c r="E124" s="977">
        <v>0.65500000000000003</v>
      </c>
      <c r="F124" s="928">
        <v>6.5500000000000007</v>
      </c>
      <c r="G124" s="922" t="s">
        <v>1807</v>
      </c>
      <c r="H124" s="922" t="s">
        <v>1807</v>
      </c>
      <c r="I124" s="256" t="str">
        <f t="shared" si="4"/>
        <v>FI4000242862</v>
      </c>
      <c r="J124" s="256" t="str">
        <f t="shared" si="5"/>
        <v>FI4000242862</v>
      </c>
      <c r="K124" s="314" t="str">
        <f t="shared" si="6"/>
        <v>FGBMM8</v>
      </c>
      <c r="L124" s="314" t="str">
        <f t="shared" si="7"/>
        <v>FGBMM8</v>
      </c>
      <c r="M124" s="360" t="s">
        <v>1807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957" t="s">
        <v>1906</v>
      </c>
      <c r="B125" s="934">
        <v>44819</v>
      </c>
      <c r="C125" s="922" t="s">
        <v>494</v>
      </c>
      <c r="D125" s="922" t="s">
        <v>664</v>
      </c>
      <c r="E125" s="977">
        <v>0.752</v>
      </c>
      <c r="F125" s="928">
        <v>7.52</v>
      </c>
      <c r="G125" s="922" t="s">
        <v>1807</v>
      </c>
      <c r="H125" s="922" t="s">
        <v>1807</v>
      </c>
      <c r="I125" s="256" t="str">
        <f t="shared" si="4"/>
        <v>FI4000047089</v>
      </c>
      <c r="J125" s="256" t="str">
        <f t="shared" si="5"/>
        <v>FI4000047089</v>
      </c>
      <c r="K125" s="314" t="str">
        <f t="shared" si="6"/>
        <v>FGBMM8</v>
      </c>
      <c r="L125" s="314" t="str">
        <f t="shared" si="7"/>
        <v>FGBMM8</v>
      </c>
      <c r="M125" s="360" t="s">
        <v>1807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957" t="s">
        <v>1907</v>
      </c>
      <c r="B126" s="934">
        <v>45031</v>
      </c>
      <c r="C126" s="922" t="s">
        <v>495</v>
      </c>
      <c r="D126" s="922" t="s">
        <v>665</v>
      </c>
      <c r="E126" s="977">
        <v>0.84099999999999997</v>
      </c>
      <c r="F126" s="928">
        <v>8.41</v>
      </c>
      <c r="G126" s="922" t="s">
        <v>1807</v>
      </c>
      <c r="H126" s="922" t="s">
        <v>1807</v>
      </c>
      <c r="I126" s="256" t="str">
        <f t="shared" si="4"/>
        <v>FI4000062625</v>
      </c>
      <c r="J126" s="256" t="str">
        <f t="shared" si="5"/>
        <v>FI4000062625</v>
      </c>
      <c r="K126" s="314" t="str">
        <f t="shared" si="6"/>
        <v>FGBMM8</v>
      </c>
      <c r="L126" s="314" t="str">
        <f t="shared" si="7"/>
        <v>FGBMM8</v>
      </c>
      <c r="M126" s="360" t="s">
        <v>1807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957" t="s">
        <v>1908</v>
      </c>
      <c r="B127" s="934">
        <v>45184</v>
      </c>
      <c r="C127" s="930" t="s">
        <v>888</v>
      </c>
      <c r="D127" s="945" t="s">
        <v>889</v>
      </c>
      <c r="E127" s="977">
        <v>0.86299999999999999</v>
      </c>
      <c r="F127" s="928">
        <v>8.629999999999999</v>
      </c>
      <c r="G127" s="922" t="s">
        <v>1807</v>
      </c>
      <c r="H127" s="922" t="s">
        <v>1807</v>
      </c>
      <c r="I127" s="256" t="str">
        <f t="shared" si="4"/>
        <v>FI4000219787</v>
      </c>
      <c r="J127" s="256" t="str">
        <f t="shared" si="5"/>
        <v>FI4000219787</v>
      </c>
      <c r="K127" s="314" t="str">
        <f t="shared" si="6"/>
        <v>FGBMM8</v>
      </c>
      <c r="L127" s="314" t="str">
        <f t="shared" si="7"/>
        <v>FGBMM8</v>
      </c>
      <c r="M127" s="360" t="s">
        <v>1807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957" t="s">
        <v>1909</v>
      </c>
      <c r="B128" s="934">
        <v>45397</v>
      </c>
      <c r="C128" s="922" t="s">
        <v>496</v>
      </c>
      <c r="D128" s="922" t="s">
        <v>414</v>
      </c>
      <c r="E128" s="976">
        <v>1.014</v>
      </c>
      <c r="F128" s="928">
        <v>10.14</v>
      </c>
      <c r="G128" s="922" t="s">
        <v>1807</v>
      </c>
      <c r="H128" s="922" t="s">
        <v>1807</v>
      </c>
      <c r="I128" s="256" t="str">
        <f t="shared" si="4"/>
        <v>FI4000079041</v>
      </c>
      <c r="J128" s="256" t="str">
        <f t="shared" si="5"/>
        <v>FI4000079041</v>
      </c>
      <c r="K128" s="314" t="str">
        <f t="shared" si="6"/>
        <v>FGBMM8</v>
      </c>
      <c r="L128" s="314" t="str">
        <f t="shared" si="7"/>
        <v>FGBMM8</v>
      </c>
      <c r="M128" s="360" t="s">
        <v>1807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957" t="s">
        <v>1910</v>
      </c>
      <c r="B129" s="934">
        <v>45842</v>
      </c>
      <c r="C129" s="922" t="s">
        <v>497</v>
      </c>
      <c r="D129" s="922" t="s">
        <v>666</v>
      </c>
      <c r="E129" s="978">
        <v>0.59599999999999997</v>
      </c>
      <c r="F129" s="928">
        <v>5.96</v>
      </c>
      <c r="G129" s="922" t="s">
        <v>1827</v>
      </c>
      <c r="H129" s="922" t="s">
        <v>1827</v>
      </c>
      <c r="I129" s="256" t="str">
        <f t="shared" si="4"/>
        <v>FI4000006176</v>
      </c>
      <c r="J129" s="256" t="str">
        <f t="shared" si="5"/>
        <v>FI4000006176</v>
      </c>
      <c r="K129" s="314" t="str">
        <f t="shared" si="6"/>
        <v>FGBLM8</v>
      </c>
      <c r="L129" s="314" t="str">
        <f t="shared" si="7"/>
        <v>FGBLM8</v>
      </c>
      <c r="M129" s="360" t="s">
        <v>1827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957" t="s">
        <v>1911</v>
      </c>
      <c r="B130" s="934">
        <v>45915</v>
      </c>
      <c r="C130" s="936" t="s">
        <v>761</v>
      </c>
      <c r="D130" s="936" t="s">
        <v>762</v>
      </c>
      <c r="E130" s="978">
        <v>0.54100000000000004</v>
      </c>
      <c r="F130" s="928">
        <v>5.41</v>
      </c>
      <c r="G130" s="934" t="s">
        <v>1827</v>
      </c>
      <c r="H130" s="934" t="s">
        <v>1827</v>
      </c>
      <c r="I130" s="256" t="str">
        <f t="shared" si="4"/>
        <v>FI4000167317</v>
      </c>
      <c r="J130" s="256" t="str">
        <f t="shared" si="5"/>
        <v>FI4000167317</v>
      </c>
      <c r="K130" s="314" t="str">
        <f t="shared" si="6"/>
        <v>FGBLM8</v>
      </c>
      <c r="L130" s="314" t="str">
        <f t="shared" si="7"/>
        <v>FGBLM8</v>
      </c>
      <c r="M130" s="360" t="s">
        <v>1827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957" t="s">
        <v>1912</v>
      </c>
      <c r="B131" s="934">
        <v>46127</v>
      </c>
      <c r="C131" s="929" t="s">
        <v>852</v>
      </c>
      <c r="D131" s="929" t="s">
        <v>853</v>
      </c>
      <c r="E131" s="978">
        <v>0.56799999999999995</v>
      </c>
      <c r="F131" s="928">
        <v>5.68</v>
      </c>
      <c r="G131" s="922" t="s">
        <v>1827</v>
      </c>
      <c r="H131" s="922" t="s">
        <v>1827</v>
      </c>
      <c r="I131" s="256" t="str">
        <f t="shared" ref="I131:I195" si="8">LEFT(D131,12)</f>
        <v>FI4000197959</v>
      </c>
      <c r="J131" s="256" t="str">
        <f t="shared" si="5"/>
        <v>FI4000197959</v>
      </c>
      <c r="K131" s="314" t="str">
        <f t="shared" si="6"/>
        <v>FGBLM8</v>
      </c>
      <c r="L131" s="314" t="str">
        <f t="shared" si="7"/>
        <v>FGBLM8</v>
      </c>
      <c r="M131" s="360" t="s">
        <v>1827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957" t="s">
        <v>1913</v>
      </c>
      <c r="B132" s="934">
        <v>46645</v>
      </c>
      <c r="C132" s="929" t="s">
        <v>1686</v>
      </c>
      <c r="D132" s="935" t="s">
        <v>1687</v>
      </c>
      <c r="E132" s="978">
        <v>0.65100000000000002</v>
      </c>
      <c r="F132" s="928">
        <v>6.51</v>
      </c>
      <c r="G132" s="922" t="s">
        <v>1827</v>
      </c>
      <c r="H132" s="922" t="s">
        <v>1827</v>
      </c>
      <c r="I132" s="256" t="str">
        <f t="shared" si="8"/>
        <v>FI4000278551</v>
      </c>
      <c r="J132" s="256" t="str">
        <f t="shared" ref="J132:J197" si="9">I132</f>
        <v>FI4000278551</v>
      </c>
      <c r="K132" s="314" t="str">
        <f t="shared" ref="K132:K195" si="10">LEFT(H132,6)</f>
        <v>FGBLM8</v>
      </c>
      <c r="L132" s="314" t="str">
        <f t="shared" ref="L132:L197" si="11">K132</f>
        <v>FGBLM8</v>
      </c>
      <c r="M132" s="360" t="s">
        <v>1827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957" t="s">
        <v>1914</v>
      </c>
      <c r="B133" s="934">
        <v>46938</v>
      </c>
      <c r="C133" s="922" t="s">
        <v>498</v>
      </c>
      <c r="D133" s="922" t="s">
        <v>667</v>
      </c>
      <c r="E133" s="978">
        <v>0.79100000000000004</v>
      </c>
      <c r="F133" s="928">
        <v>7.91</v>
      </c>
      <c r="G133" s="922" t="s">
        <v>1827</v>
      </c>
      <c r="H133" s="922" t="s">
        <v>1827</v>
      </c>
      <c r="I133" s="256" t="str">
        <f t="shared" si="8"/>
        <v>FI4000037635</v>
      </c>
      <c r="J133" s="256" t="str">
        <f t="shared" si="9"/>
        <v>FI4000037635</v>
      </c>
      <c r="K133" s="314" t="str">
        <f t="shared" si="10"/>
        <v>FGBLM8</v>
      </c>
      <c r="L133" s="314" t="str">
        <f t="shared" si="11"/>
        <v>FGBLM8</v>
      </c>
      <c r="M133" s="360" t="s">
        <v>1827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957" t="s">
        <v>1915</v>
      </c>
      <c r="B134" s="934">
        <v>47953</v>
      </c>
      <c r="C134" s="922" t="s">
        <v>577</v>
      </c>
      <c r="D134" s="936" t="s">
        <v>578</v>
      </c>
      <c r="E134" s="978">
        <v>0.86199999999999999</v>
      </c>
      <c r="F134" s="928">
        <v>8.6199999999999992</v>
      </c>
      <c r="G134" s="922" t="s">
        <v>1827</v>
      </c>
      <c r="H134" s="922" t="s">
        <v>1827</v>
      </c>
      <c r="I134" s="256" t="str">
        <f t="shared" si="8"/>
        <v>FI4000148630</v>
      </c>
      <c r="J134" s="256" t="str">
        <f t="shared" si="9"/>
        <v>FI4000148630</v>
      </c>
      <c r="K134" s="314" t="str">
        <f t="shared" si="10"/>
        <v>FGBLM8</v>
      </c>
      <c r="L134" s="314" t="str">
        <f t="shared" si="11"/>
        <v>FGBLM8</v>
      </c>
      <c r="M134" s="360" t="s">
        <v>1827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957" t="s">
        <v>1916</v>
      </c>
      <c r="B135" s="927">
        <v>49049</v>
      </c>
      <c r="C135" s="996" t="s">
        <v>1917</v>
      </c>
      <c r="D135" s="936" t="s">
        <v>1918</v>
      </c>
      <c r="E135" s="978">
        <v>1.0389999999999999</v>
      </c>
      <c r="F135" s="928">
        <v>10.39</v>
      </c>
      <c r="G135" s="922" t="s">
        <v>1827</v>
      </c>
      <c r="H135" s="922" t="s">
        <v>1827</v>
      </c>
      <c r="I135" s="256" t="str">
        <f t="shared" si="8"/>
        <v>FI4000306758</v>
      </c>
      <c r="J135" s="256" t="str">
        <f t="shared" si="9"/>
        <v>FI4000306758</v>
      </c>
      <c r="K135" s="314" t="str">
        <f t="shared" si="10"/>
        <v>FGBLM8</v>
      </c>
      <c r="L135" s="314" t="str">
        <f t="shared" si="11"/>
        <v>FGBLM8</v>
      </c>
      <c r="M135" s="360" t="s">
        <v>1827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957" t="s">
        <v>1919</v>
      </c>
      <c r="B136" s="927">
        <v>52051</v>
      </c>
      <c r="C136" s="920" t="s">
        <v>499</v>
      </c>
      <c r="D136" s="920" t="s">
        <v>668</v>
      </c>
      <c r="E136" s="978">
        <v>1.73</v>
      </c>
      <c r="F136" s="928">
        <v>17.3</v>
      </c>
      <c r="G136" s="922" t="s">
        <v>1827</v>
      </c>
      <c r="H136" s="922" t="s">
        <v>1827</v>
      </c>
      <c r="I136" s="256" t="str">
        <f t="shared" si="8"/>
        <v>FI4000046545</v>
      </c>
      <c r="J136" s="256" t="str">
        <f t="shared" si="9"/>
        <v>FI4000046545</v>
      </c>
      <c r="K136" s="314" t="str">
        <f t="shared" si="10"/>
        <v>FGBLM8</v>
      </c>
      <c r="L136" s="314" t="str">
        <f t="shared" si="11"/>
        <v>FGBLM8</v>
      </c>
      <c r="M136" s="360" t="s">
        <v>1827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957" t="s">
        <v>1920</v>
      </c>
      <c r="B137" s="927">
        <v>53797</v>
      </c>
      <c r="C137" s="935" t="s">
        <v>922</v>
      </c>
      <c r="D137" s="935" t="s">
        <v>923</v>
      </c>
      <c r="E137" s="978">
        <v>1.6739999999999999</v>
      </c>
      <c r="F137" s="928">
        <v>16.739999999999998</v>
      </c>
      <c r="G137" s="922" t="s">
        <v>1827</v>
      </c>
      <c r="H137" s="922" t="s">
        <v>1827</v>
      </c>
      <c r="I137" s="256" t="str">
        <f t="shared" si="8"/>
        <v>FI4000242870</v>
      </c>
      <c r="J137" s="256" t="str">
        <f t="shared" si="9"/>
        <v>FI4000242870</v>
      </c>
      <c r="K137" s="314" t="str">
        <f t="shared" si="10"/>
        <v>FGBLM8</v>
      </c>
      <c r="L137" s="314" t="str">
        <f t="shared" si="11"/>
        <v>FGBLM8</v>
      </c>
      <c r="M137" s="360" t="s">
        <v>1827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932" t="s">
        <v>1921</v>
      </c>
      <c r="B138" s="927"/>
      <c r="C138" s="920"/>
      <c r="D138" s="920" t="s">
        <v>599</v>
      </c>
      <c r="E138" s="933"/>
      <c r="F138" s="928"/>
      <c r="G138" s="920" t="s">
        <v>599</v>
      </c>
      <c r="H138" s="920" t="s">
        <v>599</v>
      </c>
      <c r="I138" s="256" t="str">
        <f t="shared" si="8"/>
        <v/>
      </c>
      <c r="J138" s="256" t="str">
        <f t="shared" si="9"/>
        <v/>
      </c>
      <c r="K138" s="314" t="str">
        <f t="shared" si="10"/>
        <v/>
      </c>
      <c r="L138" s="314" t="str">
        <f t="shared" si="11"/>
        <v/>
      </c>
      <c r="M138" s="360" t="s">
        <v>599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957" t="s">
        <v>1922</v>
      </c>
      <c r="B139" s="934">
        <v>43398</v>
      </c>
      <c r="C139" s="922" t="s">
        <v>500</v>
      </c>
      <c r="D139" s="922" t="s">
        <v>673</v>
      </c>
      <c r="E139" s="979">
        <v>0.30499999999999999</v>
      </c>
      <c r="F139" s="928">
        <v>3.05</v>
      </c>
      <c r="G139" s="922" t="s">
        <v>1835</v>
      </c>
      <c r="H139" s="922" t="s">
        <v>1835</v>
      </c>
      <c r="I139" s="256" t="str">
        <f t="shared" si="8"/>
        <v>FR0010670737</v>
      </c>
      <c r="J139" s="256" t="str">
        <f t="shared" si="9"/>
        <v>FR0010670737</v>
      </c>
      <c r="K139" s="314" t="str">
        <f t="shared" si="10"/>
        <v>FGBSM8</v>
      </c>
      <c r="L139" s="314" t="str">
        <f t="shared" si="11"/>
        <v>FGBSM8</v>
      </c>
      <c r="M139" s="360" t="s">
        <v>1835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957" t="s">
        <v>1923</v>
      </c>
      <c r="B140" s="934">
        <v>43429</v>
      </c>
      <c r="C140" s="922" t="s">
        <v>501</v>
      </c>
      <c r="D140" s="922" t="s">
        <v>674</v>
      </c>
      <c r="E140" s="979">
        <v>0.33300000000000002</v>
      </c>
      <c r="F140" s="928">
        <v>3.33</v>
      </c>
      <c r="G140" s="922" t="s">
        <v>1835</v>
      </c>
      <c r="H140" s="922" t="s">
        <v>1835</v>
      </c>
      <c r="I140" s="256" t="str">
        <f t="shared" si="8"/>
        <v>FR0011523257</v>
      </c>
      <c r="J140" s="256" t="str">
        <f t="shared" si="9"/>
        <v>FR0011523257</v>
      </c>
      <c r="K140" s="314" t="str">
        <f t="shared" si="10"/>
        <v>FGBSM8</v>
      </c>
      <c r="L140" s="314" t="str">
        <f t="shared" si="11"/>
        <v>FGBSM8</v>
      </c>
      <c r="M140" s="360" t="s">
        <v>1835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957" t="s">
        <v>1924</v>
      </c>
      <c r="B141" s="934">
        <v>43521</v>
      </c>
      <c r="C141" s="929" t="s">
        <v>795</v>
      </c>
      <c r="D141" s="929" t="s">
        <v>796</v>
      </c>
      <c r="E141" s="979">
        <v>0.441</v>
      </c>
      <c r="F141" s="928">
        <v>4.41</v>
      </c>
      <c r="G141" s="922" t="s">
        <v>1835</v>
      </c>
      <c r="H141" s="922" t="s">
        <v>1835</v>
      </c>
      <c r="I141" s="256" t="str">
        <f t="shared" si="8"/>
        <v>FR0013101466</v>
      </c>
      <c r="J141" s="256" t="str">
        <f t="shared" si="9"/>
        <v>FR0013101466</v>
      </c>
      <c r="K141" s="314" t="str">
        <f t="shared" si="10"/>
        <v>FGBSM8</v>
      </c>
      <c r="L141" s="314" t="str">
        <f t="shared" si="11"/>
        <v>FGBSM8</v>
      </c>
      <c r="M141" s="360" t="s">
        <v>1835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957" t="s">
        <v>1925</v>
      </c>
      <c r="B142" s="934">
        <v>43580</v>
      </c>
      <c r="C142" s="922" t="s">
        <v>284</v>
      </c>
      <c r="D142" s="922" t="s">
        <v>675</v>
      </c>
      <c r="E142" s="979">
        <v>0.53700000000000003</v>
      </c>
      <c r="F142" s="928">
        <v>5.37</v>
      </c>
      <c r="G142" s="922" t="s">
        <v>1835</v>
      </c>
      <c r="H142" s="922" t="s">
        <v>1835</v>
      </c>
      <c r="I142" s="256" t="str">
        <f t="shared" si="8"/>
        <v>FR0000189151</v>
      </c>
      <c r="J142" s="256" t="str">
        <f t="shared" si="9"/>
        <v>FR0000189151</v>
      </c>
      <c r="K142" s="314" t="str">
        <f t="shared" si="10"/>
        <v>FGBSM8</v>
      </c>
      <c r="L142" s="314" t="str">
        <f t="shared" si="11"/>
        <v>FGBSM8</v>
      </c>
      <c r="M142" s="360" t="s">
        <v>1835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957" t="s">
        <v>1926</v>
      </c>
      <c r="B143" s="934">
        <v>43610</v>
      </c>
      <c r="C143" s="922" t="s">
        <v>502</v>
      </c>
      <c r="D143" s="922" t="s">
        <v>415</v>
      </c>
      <c r="E143" s="979">
        <v>0.55500000000000005</v>
      </c>
      <c r="F143" s="928">
        <v>5.5500000000000007</v>
      </c>
      <c r="G143" s="922" t="s">
        <v>1835</v>
      </c>
      <c r="H143" s="922" t="s">
        <v>1835</v>
      </c>
      <c r="I143" s="256" t="str">
        <f t="shared" si="8"/>
        <v>FR0011708080</v>
      </c>
      <c r="J143" s="256" t="str">
        <f t="shared" si="9"/>
        <v>FR0011708080</v>
      </c>
      <c r="K143" s="314" t="str">
        <f t="shared" si="10"/>
        <v>FGBSM8</v>
      </c>
      <c r="L143" s="314" t="str">
        <f t="shared" si="11"/>
        <v>FGBSM8</v>
      </c>
      <c r="M143" s="360" t="s">
        <v>1835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957" t="s">
        <v>1927</v>
      </c>
      <c r="B144" s="934">
        <v>43763</v>
      </c>
      <c r="C144" s="922" t="s">
        <v>503</v>
      </c>
      <c r="D144" s="922" t="s">
        <v>676</v>
      </c>
      <c r="E144" s="982">
        <v>0.77200000000000002</v>
      </c>
      <c r="F144" s="928">
        <v>7.7200000000000006</v>
      </c>
      <c r="G144" s="922" t="s">
        <v>1835</v>
      </c>
      <c r="H144" s="922" t="s">
        <v>1835</v>
      </c>
      <c r="I144" s="256" t="str">
        <f t="shared" si="8"/>
        <v>FR0010776161</v>
      </c>
      <c r="J144" s="256" t="str">
        <f t="shared" si="9"/>
        <v>FR0010776161</v>
      </c>
      <c r="K144" s="314" t="str">
        <f t="shared" si="10"/>
        <v>FGBSM8</v>
      </c>
      <c r="L144" s="314" t="str">
        <f t="shared" si="11"/>
        <v>FGBSM8</v>
      </c>
      <c r="M144" s="360" t="s">
        <v>1835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957" t="s">
        <v>1928</v>
      </c>
      <c r="B145" s="934">
        <v>43794</v>
      </c>
      <c r="C145" s="922" t="s">
        <v>504</v>
      </c>
      <c r="D145" s="937" t="s">
        <v>416</v>
      </c>
      <c r="E145" s="982">
        <v>0.77700000000000002</v>
      </c>
      <c r="F145" s="928">
        <v>7.7700000000000005</v>
      </c>
      <c r="G145" s="922" t="s">
        <v>1835</v>
      </c>
      <c r="H145" s="922" t="s">
        <v>1835</v>
      </c>
      <c r="I145" s="256" t="str">
        <f t="shared" si="8"/>
        <v>FR0011993179</v>
      </c>
      <c r="J145" s="256" t="str">
        <f t="shared" si="9"/>
        <v>FR0011993179</v>
      </c>
      <c r="K145" s="314" t="str">
        <f t="shared" si="10"/>
        <v>FGBSM8</v>
      </c>
      <c r="L145" s="314" t="str">
        <f t="shared" si="11"/>
        <v>FGBSM8</v>
      </c>
      <c r="M145" s="360" t="s">
        <v>1835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957" t="s">
        <v>1929</v>
      </c>
      <c r="B146" s="934">
        <v>43886</v>
      </c>
      <c r="C146" s="922" t="s">
        <v>965</v>
      </c>
      <c r="D146" s="937" t="s">
        <v>966</v>
      </c>
      <c r="E146" s="982">
        <v>0.88100000000000001</v>
      </c>
      <c r="F146" s="928">
        <v>8.81</v>
      </c>
      <c r="G146" s="922" t="s">
        <v>1835</v>
      </c>
      <c r="H146" s="922" t="s">
        <v>1835</v>
      </c>
      <c r="I146" s="256" t="str">
        <f t="shared" si="8"/>
        <v>FR0013232485</v>
      </c>
      <c r="J146" s="256" t="str">
        <f t="shared" si="9"/>
        <v>FR0013232485</v>
      </c>
      <c r="K146" s="314" t="str">
        <f t="shared" si="10"/>
        <v>FGBSM8</v>
      </c>
      <c r="L146" s="314" t="str">
        <f t="shared" si="11"/>
        <v>FGBSM8</v>
      </c>
      <c r="M146" s="360" t="s">
        <v>1835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957" t="s">
        <v>1930</v>
      </c>
      <c r="B147" s="934">
        <v>43946</v>
      </c>
      <c r="C147" s="922" t="s">
        <v>505</v>
      </c>
      <c r="D147" s="922" t="s">
        <v>677</v>
      </c>
      <c r="E147" s="981">
        <v>1.006</v>
      </c>
      <c r="F147" s="928">
        <v>10.06</v>
      </c>
      <c r="G147" s="922" t="s">
        <v>1835</v>
      </c>
      <c r="H147" s="922" t="s">
        <v>1835</v>
      </c>
      <c r="I147" s="256" t="str">
        <f t="shared" si="8"/>
        <v>FR0010854182</v>
      </c>
      <c r="J147" s="256" t="str">
        <f t="shared" si="9"/>
        <v>FR0010854182</v>
      </c>
      <c r="K147" s="314" t="str">
        <f t="shared" si="10"/>
        <v>FGBSM8</v>
      </c>
      <c r="L147" s="314" t="str">
        <f t="shared" si="11"/>
        <v>FGBSM8</v>
      </c>
      <c r="M147" s="360" t="s">
        <v>1835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957" t="s">
        <v>1931</v>
      </c>
      <c r="B148" s="934">
        <v>43976</v>
      </c>
      <c r="C148" s="922" t="s">
        <v>580</v>
      </c>
      <c r="D148" s="922" t="s">
        <v>581</v>
      </c>
      <c r="E148" s="980">
        <v>0.98799999999999999</v>
      </c>
      <c r="F148" s="928">
        <v>9.879999999999999</v>
      </c>
      <c r="G148" s="922" t="s">
        <v>1835</v>
      </c>
      <c r="H148" s="922" t="s">
        <v>1835</v>
      </c>
      <c r="I148" s="256" t="str">
        <f t="shared" si="8"/>
        <v>FR0012557957</v>
      </c>
      <c r="J148" s="256" t="str">
        <f t="shared" si="9"/>
        <v>FR0012557957</v>
      </c>
      <c r="K148" s="314" t="str">
        <f t="shared" si="10"/>
        <v>FGBSM8</v>
      </c>
      <c r="L148" s="314" t="str">
        <f t="shared" si="11"/>
        <v>FGBSM8</v>
      </c>
      <c r="M148" s="360" t="s">
        <v>1835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957" t="s">
        <v>1932</v>
      </c>
      <c r="B149" s="934">
        <v>44129</v>
      </c>
      <c r="C149" s="922" t="s">
        <v>506</v>
      </c>
      <c r="D149" s="922" t="s">
        <v>678</v>
      </c>
      <c r="E149" s="980">
        <v>1.226</v>
      </c>
      <c r="F149" s="928">
        <v>12.26</v>
      </c>
      <c r="G149" s="922" t="s">
        <v>1835</v>
      </c>
      <c r="H149" s="922" t="s">
        <v>1835</v>
      </c>
      <c r="I149" s="256" t="str">
        <f t="shared" si="8"/>
        <v>FR0010949651</v>
      </c>
      <c r="J149" s="256" t="str">
        <f t="shared" si="9"/>
        <v>FR0010949651</v>
      </c>
      <c r="K149" s="314" t="str">
        <f t="shared" si="10"/>
        <v>FGBSM8</v>
      </c>
      <c r="L149" s="314" t="str">
        <f t="shared" si="11"/>
        <v>FGBSM8</v>
      </c>
      <c r="M149" s="360" t="s">
        <v>1835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957" t="s">
        <v>1933</v>
      </c>
      <c r="B150" s="934">
        <v>44160</v>
      </c>
      <c r="C150" s="929" t="s">
        <v>763</v>
      </c>
      <c r="D150" s="929" t="s">
        <v>764</v>
      </c>
      <c r="E150" s="980">
        <v>1.2130000000000001</v>
      </c>
      <c r="F150" s="928">
        <v>12.13</v>
      </c>
      <c r="G150" s="922" t="s">
        <v>1835</v>
      </c>
      <c r="H150" s="922" t="s">
        <v>1835</v>
      </c>
      <c r="I150" s="256" t="str">
        <f t="shared" si="8"/>
        <v>FR0012968337</v>
      </c>
      <c r="J150" s="256" t="str">
        <f t="shared" si="9"/>
        <v>FR0012968337</v>
      </c>
      <c r="K150" s="314" t="str">
        <f t="shared" si="10"/>
        <v>FGBSM8</v>
      </c>
      <c r="L150" s="314" t="str">
        <f t="shared" si="11"/>
        <v>FGBSM8</v>
      </c>
      <c r="M150" s="360" t="s">
        <v>1835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957" t="s">
        <v>1934</v>
      </c>
      <c r="B151" s="934">
        <v>44252</v>
      </c>
      <c r="C151" s="929" t="s">
        <v>1935</v>
      </c>
      <c r="D151" s="935" t="s">
        <v>1707</v>
      </c>
      <c r="E151" s="980">
        <v>1.3149999999999999</v>
      </c>
      <c r="F151" s="928">
        <v>13.149999999999999</v>
      </c>
      <c r="G151" s="922" t="s">
        <v>1835</v>
      </c>
      <c r="H151" s="922" t="s">
        <v>1835</v>
      </c>
      <c r="I151" s="256" t="str">
        <f t="shared" si="8"/>
        <v>FR0013311016</v>
      </c>
      <c r="J151" s="256" t="str">
        <f t="shared" si="9"/>
        <v>FR0013311016</v>
      </c>
      <c r="K151" s="314" t="str">
        <f t="shared" si="10"/>
        <v>FGBSM8</v>
      </c>
      <c r="L151" s="314" t="str">
        <f t="shared" si="11"/>
        <v>FGBSM8</v>
      </c>
      <c r="M151" s="360" t="s">
        <v>1835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957" t="s">
        <v>1936</v>
      </c>
      <c r="B152" s="934">
        <v>44311</v>
      </c>
      <c r="C152" s="922" t="s">
        <v>285</v>
      </c>
      <c r="D152" s="922" t="s">
        <v>679</v>
      </c>
      <c r="E152" s="980">
        <v>1.496</v>
      </c>
      <c r="F152" s="928">
        <v>14.96</v>
      </c>
      <c r="G152" s="922" t="s">
        <v>1835</v>
      </c>
      <c r="H152" s="922" t="s">
        <v>1835</v>
      </c>
      <c r="I152" s="256" t="str">
        <f t="shared" si="8"/>
        <v>FR0010192997</v>
      </c>
      <c r="J152" s="256" t="str">
        <f t="shared" si="9"/>
        <v>FR0010192997</v>
      </c>
      <c r="K152" s="314" t="str">
        <f t="shared" si="10"/>
        <v>FGBSM8</v>
      </c>
      <c r="L152" s="314" t="str">
        <f t="shared" si="11"/>
        <v>FGBSM8</v>
      </c>
      <c r="M152" s="360" t="s">
        <v>1835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957" t="s">
        <v>1937</v>
      </c>
      <c r="B153" s="934">
        <v>44341</v>
      </c>
      <c r="C153" s="922" t="s">
        <v>854</v>
      </c>
      <c r="D153" s="922" t="s">
        <v>855</v>
      </c>
      <c r="E153" s="980">
        <v>1.42</v>
      </c>
      <c r="F153" s="928">
        <v>14.2</v>
      </c>
      <c r="G153" s="922" t="s">
        <v>1835</v>
      </c>
      <c r="H153" s="922" t="s">
        <v>1835</v>
      </c>
      <c r="I153" s="256" t="str">
        <f t="shared" si="8"/>
        <v>FR0013157096</v>
      </c>
      <c r="J153" s="256" t="str">
        <f t="shared" si="9"/>
        <v>FR0013157096</v>
      </c>
      <c r="K153" s="314" t="str">
        <f t="shared" si="10"/>
        <v>FGBSM8</v>
      </c>
      <c r="L153" s="314" t="str">
        <f t="shared" si="11"/>
        <v>FGBSM8</v>
      </c>
      <c r="M153" s="360" t="s">
        <v>1835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957" t="s">
        <v>1938</v>
      </c>
      <c r="B154" s="934">
        <v>44494</v>
      </c>
      <c r="C154" s="922" t="s">
        <v>507</v>
      </c>
      <c r="D154" s="922" t="s">
        <v>680</v>
      </c>
      <c r="E154" s="983">
        <v>0.628</v>
      </c>
      <c r="F154" s="928">
        <v>6.28</v>
      </c>
      <c r="G154" s="922" t="s">
        <v>1807</v>
      </c>
      <c r="H154" s="922" t="s">
        <v>1807</v>
      </c>
      <c r="I154" s="256" t="str">
        <f t="shared" si="8"/>
        <v>FR0011059088</v>
      </c>
      <c r="J154" s="256" t="str">
        <f t="shared" si="9"/>
        <v>FR0011059088</v>
      </c>
      <c r="K154" s="314" t="str">
        <f t="shared" si="10"/>
        <v>FGBMM8</v>
      </c>
      <c r="L154" s="314" t="str">
        <f t="shared" si="11"/>
        <v>FGBMM8</v>
      </c>
      <c r="M154" s="360" t="s">
        <v>1807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957" t="s">
        <v>1939</v>
      </c>
      <c r="B155" s="927">
        <v>44676</v>
      </c>
      <c r="C155" s="920" t="s">
        <v>508</v>
      </c>
      <c r="D155" s="920" t="s">
        <v>681</v>
      </c>
      <c r="E155" s="983">
        <v>0.71099999999999997</v>
      </c>
      <c r="F155" s="928">
        <v>7.1099999999999994</v>
      </c>
      <c r="G155" s="922" t="s">
        <v>1807</v>
      </c>
      <c r="H155" s="922" t="s">
        <v>1807</v>
      </c>
      <c r="I155" s="256" t="str">
        <f t="shared" si="8"/>
        <v>FR0011196856</v>
      </c>
      <c r="J155" s="256" t="str">
        <f t="shared" si="9"/>
        <v>FR0011196856</v>
      </c>
      <c r="K155" s="314" t="str">
        <f t="shared" si="10"/>
        <v>FGBMM8</v>
      </c>
      <c r="L155" s="314" t="str">
        <f t="shared" si="11"/>
        <v>FGBMM8</v>
      </c>
      <c r="M155" s="360" t="s">
        <v>1807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957" t="s">
        <v>1940</v>
      </c>
      <c r="B156" s="927">
        <v>44706</v>
      </c>
      <c r="C156" s="930" t="s">
        <v>890</v>
      </c>
      <c r="D156" s="930" t="s">
        <v>891</v>
      </c>
      <c r="E156" s="983">
        <v>0.67100000000000004</v>
      </c>
      <c r="F156" s="928">
        <v>6.7100000000000009</v>
      </c>
      <c r="G156" s="922" t="s">
        <v>1807</v>
      </c>
      <c r="H156" s="922" t="s">
        <v>1807</v>
      </c>
      <c r="I156" s="256" t="str">
        <f t="shared" si="8"/>
        <v>FR0013219177</v>
      </c>
      <c r="J156" s="256" t="str">
        <f t="shared" si="9"/>
        <v>FR0013219177</v>
      </c>
      <c r="K156" s="314" t="str">
        <f t="shared" si="10"/>
        <v>FGBMM8</v>
      </c>
      <c r="L156" s="314" t="str">
        <f t="shared" si="11"/>
        <v>FGBMM8</v>
      </c>
      <c r="M156" s="360" t="s">
        <v>1807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957" t="s">
        <v>1941</v>
      </c>
      <c r="B157" s="927">
        <v>44859</v>
      </c>
      <c r="C157" s="920" t="s">
        <v>509</v>
      </c>
      <c r="D157" s="920" t="s">
        <v>682</v>
      </c>
      <c r="E157" s="983">
        <v>0.78200000000000003</v>
      </c>
      <c r="F157" s="928">
        <v>7.82</v>
      </c>
      <c r="G157" s="922" t="s">
        <v>1807</v>
      </c>
      <c r="H157" s="922" t="s">
        <v>1807</v>
      </c>
      <c r="I157" s="256" t="str">
        <f t="shared" si="8"/>
        <v>FR0011337880</v>
      </c>
      <c r="J157" s="256" t="str">
        <f t="shared" si="9"/>
        <v>FR0011337880</v>
      </c>
      <c r="K157" s="314" t="str">
        <f t="shared" si="10"/>
        <v>FGBMM8</v>
      </c>
      <c r="L157" s="314" t="str">
        <f t="shared" si="11"/>
        <v>FGBMM8</v>
      </c>
      <c r="M157" s="360" t="s">
        <v>1807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957" t="s">
        <v>1942</v>
      </c>
      <c r="B158" s="927">
        <v>45010</v>
      </c>
      <c r="C158" s="935" t="s">
        <v>1688</v>
      </c>
      <c r="D158" s="935" t="s">
        <v>1638</v>
      </c>
      <c r="E158" s="983">
        <v>0.79400000000000004</v>
      </c>
      <c r="F158" s="928">
        <v>7.94</v>
      </c>
      <c r="G158" s="922" t="s">
        <v>1807</v>
      </c>
      <c r="H158" s="922" t="s">
        <v>1807</v>
      </c>
      <c r="I158" s="256" t="str">
        <f t="shared" si="8"/>
        <v>FR0013283686</v>
      </c>
      <c r="J158" s="256" t="str">
        <f t="shared" si="9"/>
        <v>FR0013283686</v>
      </c>
      <c r="K158" s="314" t="str">
        <f t="shared" si="10"/>
        <v>FGBMM8</v>
      </c>
      <c r="L158" s="314" t="str">
        <f t="shared" si="11"/>
        <v>FGBMM8</v>
      </c>
      <c r="M158" s="360" t="s">
        <v>1807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957" t="s">
        <v>1943</v>
      </c>
      <c r="B159" s="946">
        <v>45071</v>
      </c>
      <c r="C159" s="940" t="s">
        <v>510</v>
      </c>
      <c r="D159" s="920" t="s">
        <v>683</v>
      </c>
      <c r="E159" s="984">
        <v>0.86599999999999999</v>
      </c>
      <c r="F159" s="928">
        <v>8.66</v>
      </c>
      <c r="G159" s="922" t="s">
        <v>1807</v>
      </c>
      <c r="H159" s="922" t="s">
        <v>1807</v>
      </c>
      <c r="I159" s="256" t="str">
        <f t="shared" si="8"/>
        <v>FR0011486067</v>
      </c>
      <c r="J159" s="256" t="str">
        <f t="shared" si="9"/>
        <v>FR0011486067</v>
      </c>
      <c r="K159" s="314" t="str">
        <f t="shared" si="10"/>
        <v>FGBMM8</v>
      </c>
      <c r="L159" s="314" t="str">
        <f t="shared" si="11"/>
        <v>FGBMM8</v>
      </c>
      <c r="M159" s="360" t="s">
        <v>1807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957" t="s">
        <v>1944</v>
      </c>
      <c r="B160" s="942">
        <v>45224</v>
      </c>
      <c r="C160" s="941" t="s">
        <v>511</v>
      </c>
      <c r="D160" s="920" t="s">
        <v>684</v>
      </c>
      <c r="E160" s="984">
        <v>1.008</v>
      </c>
      <c r="F160" s="928">
        <v>10.08</v>
      </c>
      <c r="G160" s="922" t="s">
        <v>1807</v>
      </c>
      <c r="H160" s="922" t="s">
        <v>1807</v>
      </c>
      <c r="I160" s="256" t="str">
        <f t="shared" si="8"/>
        <v>FR0010466938</v>
      </c>
      <c r="J160" s="256" t="str">
        <f t="shared" si="9"/>
        <v>FR0010466938</v>
      </c>
      <c r="K160" s="314" t="str">
        <f t="shared" si="10"/>
        <v>FGBMM8</v>
      </c>
      <c r="L160" s="314" t="str">
        <f t="shared" si="11"/>
        <v>FGBMM8</v>
      </c>
      <c r="M160" s="360" t="s">
        <v>1807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957" t="s">
        <v>1945</v>
      </c>
      <c r="B161" s="934">
        <v>45437</v>
      </c>
      <c r="C161" s="922" t="s">
        <v>512</v>
      </c>
      <c r="D161" s="920" t="s">
        <v>685</v>
      </c>
      <c r="E161" s="984">
        <v>1.0409999999999999</v>
      </c>
      <c r="F161" s="928">
        <v>10.41</v>
      </c>
      <c r="G161" s="922" t="s">
        <v>1807</v>
      </c>
      <c r="H161" s="922" t="s">
        <v>1807</v>
      </c>
      <c r="I161" s="256" t="str">
        <f t="shared" si="8"/>
        <v>FR0011619436</v>
      </c>
      <c r="J161" s="256" t="str">
        <f t="shared" si="9"/>
        <v>FR0011619436</v>
      </c>
      <c r="K161" s="314" t="str">
        <f t="shared" si="10"/>
        <v>FGBMM8</v>
      </c>
      <c r="L161" s="314" t="str">
        <f t="shared" si="11"/>
        <v>FGBMM8</v>
      </c>
      <c r="M161" s="360" t="s">
        <v>1807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957" t="s">
        <v>1946</v>
      </c>
      <c r="B162" s="934">
        <v>45621</v>
      </c>
      <c r="C162" s="937" t="s">
        <v>513</v>
      </c>
      <c r="D162" s="937" t="s">
        <v>417</v>
      </c>
      <c r="E162" s="984">
        <v>1.101</v>
      </c>
      <c r="F162" s="928">
        <v>11.01</v>
      </c>
      <c r="G162" s="922" t="s">
        <v>1807</v>
      </c>
      <c r="H162" s="922" t="s">
        <v>1807</v>
      </c>
      <c r="I162" s="256" t="str">
        <f t="shared" si="8"/>
        <v>FR0011962398</v>
      </c>
      <c r="J162" s="256" t="str">
        <f t="shared" si="9"/>
        <v>FR0011962398</v>
      </c>
      <c r="K162" s="314" t="str">
        <f t="shared" si="10"/>
        <v>FGBMM8</v>
      </c>
      <c r="L162" s="314" t="str">
        <f t="shared" si="11"/>
        <v>FGBMM8</v>
      </c>
      <c r="M162" s="360" t="s">
        <v>1807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957" t="s">
        <v>1947</v>
      </c>
      <c r="B163" s="934">
        <v>45802</v>
      </c>
      <c r="C163" s="937" t="s">
        <v>582</v>
      </c>
      <c r="D163" s="936" t="s">
        <v>583</v>
      </c>
      <c r="E163" s="985">
        <v>0.53900000000000003</v>
      </c>
      <c r="F163" s="928">
        <v>5.3900000000000006</v>
      </c>
      <c r="G163" s="922" t="s">
        <v>1948</v>
      </c>
      <c r="H163" s="922" t="s">
        <v>1948</v>
      </c>
      <c r="I163" s="256" t="str">
        <f t="shared" si="8"/>
        <v>FR0012517027</v>
      </c>
      <c r="J163" s="256" t="str">
        <f t="shared" si="9"/>
        <v>FR0012517027</v>
      </c>
      <c r="K163" s="314" t="str">
        <f t="shared" si="10"/>
        <v>FOATM8</v>
      </c>
      <c r="L163" s="314" t="str">
        <f t="shared" si="11"/>
        <v>FOATM8</v>
      </c>
      <c r="M163" s="360" t="s">
        <v>1948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957" t="s">
        <v>1949</v>
      </c>
      <c r="B164" s="934">
        <v>45955</v>
      </c>
      <c r="C164" s="922" t="s">
        <v>286</v>
      </c>
      <c r="D164" s="922" t="s">
        <v>686</v>
      </c>
      <c r="E164" s="985">
        <v>0.70399999999999996</v>
      </c>
      <c r="F164" s="928">
        <v>7.0399999999999991</v>
      </c>
      <c r="G164" s="922" t="s">
        <v>1948</v>
      </c>
      <c r="H164" s="922" t="s">
        <v>1948</v>
      </c>
      <c r="I164" s="256" t="str">
        <f t="shared" si="8"/>
        <v>FR0000571150</v>
      </c>
      <c r="J164" s="256" t="str">
        <f t="shared" si="9"/>
        <v>FR0000571150</v>
      </c>
      <c r="K164" s="314" t="str">
        <f t="shared" si="10"/>
        <v>FOATM8</v>
      </c>
      <c r="L164" s="314" t="str">
        <f t="shared" si="11"/>
        <v>FOATM8</v>
      </c>
      <c r="M164" s="360" t="s">
        <v>1948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957" t="s">
        <v>1950</v>
      </c>
      <c r="B165" s="934">
        <v>45986</v>
      </c>
      <c r="C165" s="922" t="s">
        <v>856</v>
      </c>
      <c r="D165" s="922" t="s">
        <v>765</v>
      </c>
      <c r="E165" s="985">
        <v>0.58399999999999996</v>
      </c>
      <c r="F165" s="928">
        <v>5.84</v>
      </c>
      <c r="G165" s="922" t="s">
        <v>1948</v>
      </c>
      <c r="H165" s="922" t="s">
        <v>1948</v>
      </c>
      <c r="I165" s="256" t="str">
        <f t="shared" si="8"/>
        <v>FR0012938116</v>
      </c>
      <c r="J165" s="256" t="str">
        <f t="shared" si="9"/>
        <v>FR0012938116</v>
      </c>
      <c r="K165" s="314" t="str">
        <f t="shared" si="10"/>
        <v>FOATM8</v>
      </c>
      <c r="L165" s="314" t="str">
        <f t="shared" si="11"/>
        <v>FOATM8</v>
      </c>
      <c r="M165" s="360" t="s">
        <v>1948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957" t="s">
        <v>1951</v>
      </c>
      <c r="B166" s="934">
        <v>46137</v>
      </c>
      <c r="C166" s="922" t="s">
        <v>514</v>
      </c>
      <c r="D166" s="922" t="s">
        <v>687</v>
      </c>
      <c r="E166" s="985">
        <v>0.68300000000000005</v>
      </c>
      <c r="F166" s="928">
        <v>6.83</v>
      </c>
      <c r="G166" s="922" t="s">
        <v>1948</v>
      </c>
      <c r="H166" s="922" t="s">
        <v>1948</v>
      </c>
      <c r="I166" s="256" t="str">
        <f t="shared" si="8"/>
        <v>FR0010916924</v>
      </c>
      <c r="J166" s="256" t="str">
        <f t="shared" si="9"/>
        <v>FR0010916924</v>
      </c>
      <c r="K166" s="314" t="str">
        <f t="shared" si="10"/>
        <v>FOATM8</v>
      </c>
      <c r="L166" s="314" t="str">
        <f t="shared" si="11"/>
        <v>FOATM8</v>
      </c>
      <c r="M166" s="360" t="s">
        <v>1948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957" t="s">
        <v>1952</v>
      </c>
      <c r="B167" s="934">
        <v>46167</v>
      </c>
      <c r="C167" s="922" t="s">
        <v>857</v>
      </c>
      <c r="D167" s="929" t="s">
        <v>858</v>
      </c>
      <c r="E167" s="985">
        <v>0.60299999999999998</v>
      </c>
      <c r="F167" s="928">
        <v>6.0299999999999994</v>
      </c>
      <c r="G167" s="922" t="s">
        <v>1948</v>
      </c>
      <c r="H167" s="922" t="s">
        <v>1948</v>
      </c>
      <c r="I167" s="256" t="str">
        <f t="shared" si="8"/>
        <v>FR0013131877</v>
      </c>
      <c r="J167" s="256" t="str">
        <f t="shared" si="9"/>
        <v>FR0013131877</v>
      </c>
      <c r="K167" s="314" t="str">
        <f t="shared" si="10"/>
        <v>FOATM8</v>
      </c>
      <c r="L167" s="314" t="str">
        <f t="shared" si="11"/>
        <v>FOATM8</v>
      </c>
      <c r="M167" s="360" t="s">
        <v>1948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957" t="s">
        <v>1953</v>
      </c>
      <c r="B168" s="934">
        <v>46351</v>
      </c>
      <c r="C168" s="930" t="s">
        <v>892</v>
      </c>
      <c r="D168" s="930" t="s">
        <v>893</v>
      </c>
      <c r="E168" s="985">
        <v>0.625</v>
      </c>
      <c r="F168" s="928">
        <v>6.25</v>
      </c>
      <c r="G168" s="922" t="s">
        <v>1948</v>
      </c>
      <c r="H168" s="922" t="s">
        <v>1948</v>
      </c>
      <c r="I168" s="256" t="str">
        <f t="shared" si="8"/>
        <v>FR0013200813</v>
      </c>
      <c r="J168" s="256" t="str">
        <f t="shared" si="9"/>
        <v>FR0013200813</v>
      </c>
      <c r="K168" s="314" t="str">
        <f t="shared" si="10"/>
        <v>FOATM8</v>
      </c>
      <c r="L168" s="314" t="str">
        <f t="shared" si="11"/>
        <v>FOATM8</v>
      </c>
      <c r="M168" s="360" t="s">
        <v>1948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957" t="s">
        <v>1954</v>
      </c>
      <c r="B169" s="934">
        <v>46532</v>
      </c>
      <c r="C169" s="935" t="s">
        <v>967</v>
      </c>
      <c r="D169" s="950" t="s">
        <v>935</v>
      </c>
      <c r="E169" s="985">
        <v>0.66124300000000003</v>
      </c>
      <c r="F169" s="928">
        <v>6.79</v>
      </c>
      <c r="G169" s="922" t="s">
        <v>1948</v>
      </c>
      <c r="H169" s="922" t="s">
        <v>1948</v>
      </c>
      <c r="I169" s="256" t="str">
        <f>LEFT(D169,12)</f>
        <v>FR0013250560</v>
      </c>
      <c r="J169" s="256" t="str">
        <f>I169</f>
        <v>FR0013250560</v>
      </c>
      <c r="K169" s="314" t="str">
        <f t="shared" si="10"/>
        <v>FOATM8</v>
      </c>
      <c r="L169" s="314" t="str">
        <f>K169</f>
        <v>FOATM8</v>
      </c>
      <c r="M169" s="360" t="s">
        <v>1948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957" t="s">
        <v>1955</v>
      </c>
      <c r="B170" s="934">
        <v>46685</v>
      </c>
      <c r="C170" s="922" t="s">
        <v>515</v>
      </c>
      <c r="D170" s="922" t="s">
        <v>688</v>
      </c>
      <c r="E170" s="985">
        <v>0.77187099999999997</v>
      </c>
      <c r="F170" s="928">
        <v>7.7187099999999997</v>
      </c>
      <c r="G170" s="922" t="s">
        <v>1948</v>
      </c>
      <c r="H170" s="922" t="s">
        <v>1948</v>
      </c>
      <c r="I170" s="256" t="str">
        <f t="shared" si="8"/>
        <v>FR0011317783</v>
      </c>
      <c r="J170" s="256" t="str">
        <f t="shared" si="9"/>
        <v>FR0011317783</v>
      </c>
      <c r="K170" s="314" t="str">
        <f t="shared" si="10"/>
        <v>FOATM8</v>
      </c>
      <c r="L170" s="314" t="str">
        <f t="shared" si="11"/>
        <v>FOATM8</v>
      </c>
      <c r="M170" s="360" t="s">
        <v>1948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957" t="s">
        <v>1956</v>
      </c>
      <c r="B171" s="934">
        <v>46898</v>
      </c>
      <c r="C171" s="935" t="s">
        <v>1689</v>
      </c>
      <c r="D171" s="950" t="s">
        <v>1641</v>
      </c>
      <c r="E171" s="985">
        <v>0.61491399999999996</v>
      </c>
      <c r="F171" s="928">
        <v>7.29</v>
      </c>
      <c r="G171" s="922" t="s">
        <v>1948</v>
      </c>
      <c r="H171" s="922" t="s">
        <v>1948</v>
      </c>
      <c r="I171" s="256" t="str">
        <f t="shared" si="8"/>
        <v>FR0013286192</v>
      </c>
      <c r="J171" s="256" t="str">
        <f t="shared" si="9"/>
        <v>FR0013286192</v>
      </c>
      <c r="K171" s="314" t="str">
        <f t="shared" si="10"/>
        <v>FOATM8</v>
      </c>
      <c r="L171" s="314" t="str">
        <f t="shared" si="11"/>
        <v>FOATM8</v>
      </c>
      <c r="M171" s="360" t="s">
        <v>1948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957" t="s">
        <v>1957</v>
      </c>
      <c r="B172" s="927">
        <v>47233</v>
      </c>
      <c r="C172" s="920" t="s">
        <v>287</v>
      </c>
      <c r="D172" s="920" t="s">
        <v>689</v>
      </c>
      <c r="E172" s="985">
        <v>1.0149999999999999</v>
      </c>
      <c r="F172" s="928">
        <v>10.149999999999999</v>
      </c>
      <c r="G172" s="922" t="s">
        <v>1948</v>
      </c>
      <c r="H172" s="922" t="s">
        <v>1948</v>
      </c>
      <c r="I172" s="256" t="str">
        <f t="shared" si="8"/>
        <v>FR0000571218</v>
      </c>
      <c r="J172" s="256" t="str">
        <f t="shared" si="9"/>
        <v>FR0000571218</v>
      </c>
      <c r="K172" s="314" t="str">
        <f t="shared" si="10"/>
        <v>FOATM8</v>
      </c>
      <c r="L172" s="314" t="str">
        <f t="shared" si="11"/>
        <v>FOATM8</v>
      </c>
      <c r="M172" s="360" t="s">
        <v>1948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957" t="s">
        <v>1958</v>
      </c>
      <c r="B173" s="927">
        <v>47628</v>
      </c>
      <c r="C173" s="931" t="s">
        <v>516</v>
      </c>
      <c r="D173" s="931" t="s">
        <v>418</v>
      </c>
      <c r="E173" s="985">
        <v>0.94199999999999995</v>
      </c>
      <c r="F173" s="928">
        <v>9.42</v>
      </c>
      <c r="G173" s="922" t="s">
        <v>1948</v>
      </c>
      <c r="H173" s="922" t="s">
        <v>1948</v>
      </c>
      <c r="I173" s="256" t="str">
        <f t="shared" si="8"/>
        <v>FR0011883966</v>
      </c>
      <c r="J173" s="256" t="str">
        <f t="shared" si="9"/>
        <v>FR0011883966</v>
      </c>
      <c r="K173" s="314" t="str">
        <f t="shared" si="10"/>
        <v>FOATM8</v>
      </c>
      <c r="L173" s="314" t="str">
        <f t="shared" si="11"/>
        <v>FOATM8</v>
      </c>
      <c r="M173" s="360" t="s">
        <v>1948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957" t="s">
        <v>1959</v>
      </c>
      <c r="B174" s="927">
        <v>47993</v>
      </c>
      <c r="C174" s="931" t="s">
        <v>766</v>
      </c>
      <c r="D174" s="929" t="s">
        <v>767</v>
      </c>
      <c r="E174" s="985">
        <v>0.94399999999999995</v>
      </c>
      <c r="F174" s="928">
        <v>9.44</v>
      </c>
      <c r="G174" s="922" t="s">
        <v>1948</v>
      </c>
      <c r="H174" s="922" t="s">
        <v>1948</v>
      </c>
      <c r="I174" s="256" t="str">
        <f t="shared" si="8"/>
        <v>FR0012993103</v>
      </c>
      <c r="J174" s="256" t="str">
        <f t="shared" si="9"/>
        <v>FR0012993103</v>
      </c>
      <c r="K174" s="314" t="str">
        <f t="shared" si="10"/>
        <v>FOATM8</v>
      </c>
      <c r="L174" s="314" t="str">
        <f t="shared" si="11"/>
        <v>FOATM8</v>
      </c>
      <c r="M174" s="360" t="s">
        <v>1948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957" t="s">
        <v>1960</v>
      </c>
      <c r="B175" s="927">
        <v>48512</v>
      </c>
      <c r="C175" s="920" t="s">
        <v>288</v>
      </c>
      <c r="D175" s="920" t="s">
        <v>690</v>
      </c>
      <c r="E175" s="985">
        <v>1.3660000000000001</v>
      </c>
      <c r="F175" s="928">
        <v>13.66</v>
      </c>
      <c r="G175" s="922" t="s">
        <v>1948</v>
      </c>
      <c r="H175" s="922" t="s">
        <v>1948</v>
      </c>
      <c r="I175" s="256" t="str">
        <f t="shared" si="8"/>
        <v>FR0000187635</v>
      </c>
      <c r="J175" s="256" t="str">
        <f t="shared" si="9"/>
        <v>FR0000187635</v>
      </c>
      <c r="K175" s="314" t="str">
        <f t="shared" si="10"/>
        <v>FOATM8</v>
      </c>
      <c r="L175" s="314" t="str">
        <f t="shared" si="11"/>
        <v>FOATM8</v>
      </c>
      <c r="M175" s="360" t="s">
        <v>1948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957" t="s">
        <v>1961</v>
      </c>
      <c r="B176" s="927">
        <v>49089</v>
      </c>
      <c r="C176" s="935" t="s">
        <v>1962</v>
      </c>
      <c r="D176" s="935" t="s">
        <v>1723</v>
      </c>
      <c r="E176" s="985">
        <v>1.091</v>
      </c>
      <c r="F176" s="928">
        <v>10.91</v>
      </c>
      <c r="G176" s="922" t="s">
        <v>1948</v>
      </c>
      <c r="H176" s="922" t="s">
        <v>1948</v>
      </c>
      <c r="I176" s="256" t="str">
        <f t="shared" si="8"/>
        <v>FR0013313582</v>
      </c>
      <c r="J176" s="256" t="str">
        <f t="shared" si="9"/>
        <v>FR0013313582</v>
      </c>
      <c r="K176" s="314" t="str">
        <f t="shared" si="10"/>
        <v>FOATM8</v>
      </c>
      <c r="L176" s="314" t="str">
        <f t="shared" si="11"/>
        <v>FOATM8</v>
      </c>
      <c r="M176" s="360" t="s">
        <v>1948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957" t="s">
        <v>1963</v>
      </c>
      <c r="B177" s="927">
        <v>49424</v>
      </c>
      <c r="C177" s="920" t="s">
        <v>289</v>
      </c>
      <c r="D177" s="920" t="s">
        <v>691</v>
      </c>
      <c r="E177" s="985">
        <v>1.5069999999999999</v>
      </c>
      <c r="F177" s="928">
        <v>15.069999999999999</v>
      </c>
      <c r="G177" s="922" t="s">
        <v>1948</v>
      </c>
      <c r="H177" s="922" t="s">
        <v>1948</v>
      </c>
      <c r="I177" s="256" t="str">
        <f t="shared" si="8"/>
        <v>FR0010070060</v>
      </c>
      <c r="J177" s="256" t="str">
        <f t="shared" si="9"/>
        <v>FR0010070060</v>
      </c>
      <c r="K177" s="314" t="str">
        <f t="shared" si="10"/>
        <v>FOATM8</v>
      </c>
      <c r="L177" s="314" t="str">
        <f t="shared" si="11"/>
        <v>FOATM8</v>
      </c>
      <c r="M177" s="360" t="s">
        <v>1948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957" t="s">
        <v>1964</v>
      </c>
      <c r="B178" s="927">
        <v>49820</v>
      </c>
      <c r="C178" s="931" t="s">
        <v>859</v>
      </c>
      <c r="D178" s="929" t="s">
        <v>860</v>
      </c>
      <c r="E178" s="985">
        <v>1.1870000000000001</v>
      </c>
      <c r="F178" s="928">
        <v>11.870000000000001</v>
      </c>
      <c r="G178" s="922" t="s">
        <v>1948</v>
      </c>
      <c r="H178" s="922" t="s">
        <v>1948</v>
      </c>
      <c r="I178" s="256" t="str">
        <f t="shared" si="8"/>
        <v>FR0013154044</v>
      </c>
      <c r="J178" s="256" t="str">
        <f t="shared" si="9"/>
        <v>FR0013154044</v>
      </c>
      <c r="K178" s="314" t="str">
        <f t="shared" si="10"/>
        <v>FOATM8</v>
      </c>
      <c r="L178" s="314" t="str">
        <f t="shared" si="11"/>
        <v>FOATM8</v>
      </c>
      <c r="M178" s="360" t="s">
        <v>1948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957" t="s">
        <v>1965</v>
      </c>
      <c r="B179" s="927">
        <v>50703</v>
      </c>
      <c r="C179" s="920" t="s">
        <v>517</v>
      </c>
      <c r="D179" s="920" t="s">
        <v>692</v>
      </c>
      <c r="E179" s="985">
        <v>1.6930000000000001</v>
      </c>
      <c r="F179" s="928">
        <v>16.93</v>
      </c>
      <c r="G179" s="922" t="s">
        <v>1948</v>
      </c>
      <c r="H179" s="922" t="s">
        <v>1948</v>
      </c>
      <c r="I179" s="256" t="str">
        <f t="shared" si="8"/>
        <v>FR0010371401</v>
      </c>
      <c r="J179" s="256" t="str">
        <f t="shared" si="9"/>
        <v>FR0010371401</v>
      </c>
      <c r="K179" s="314" t="str">
        <f t="shared" si="10"/>
        <v>FOATM8</v>
      </c>
      <c r="L179" s="314" t="str">
        <f t="shared" si="11"/>
        <v>FOATM8</v>
      </c>
      <c r="M179" s="360" t="s">
        <v>1948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957" t="s">
        <v>1966</v>
      </c>
      <c r="B180" s="927">
        <v>50946</v>
      </c>
      <c r="C180" s="930" t="s">
        <v>924</v>
      </c>
      <c r="D180" s="930" t="s">
        <v>925</v>
      </c>
      <c r="E180" s="985">
        <v>1.4</v>
      </c>
      <c r="F180" s="928">
        <v>14</v>
      </c>
      <c r="G180" s="922" t="s">
        <v>1948</v>
      </c>
      <c r="H180" s="922" t="s">
        <v>1948</v>
      </c>
      <c r="I180" s="256" t="str">
        <f t="shared" si="8"/>
        <v>FR0013234333</v>
      </c>
      <c r="J180" s="256" t="str">
        <f t="shared" si="9"/>
        <v>FR0013234333</v>
      </c>
      <c r="K180" s="314" t="str">
        <f t="shared" si="10"/>
        <v>FOATM8</v>
      </c>
      <c r="L180" s="314" t="str">
        <f t="shared" si="11"/>
        <v>FOATM8</v>
      </c>
      <c r="M180" s="360" t="s">
        <v>1948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957" t="s">
        <v>1967</v>
      </c>
      <c r="B181" s="927">
        <v>51616</v>
      </c>
      <c r="C181" s="920" t="s">
        <v>518</v>
      </c>
      <c r="D181" s="920" t="s">
        <v>693</v>
      </c>
      <c r="E181" s="985">
        <v>1.9570000000000001</v>
      </c>
      <c r="F181" s="928">
        <v>19.57</v>
      </c>
      <c r="G181" s="922" t="s">
        <v>1948</v>
      </c>
      <c r="H181" s="922" t="s">
        <v>1948</v>
      </c>
      <c r="I181" s="256" t="str">
        <f t="shared" si="8"/>
        <v>FR0010773192</v>
      </c>
      <c r="J181" s="256" t="str">
        <f t="shared" si="9"/>
        <v>FR0010773192</v>
      </c>
      <c r="K181" s="314" t="str">
        <f t="shared" si="10"/>
        <v>FOATM8</v>
      </c>
      <c r="L181" s="314" t="str">
        <f t="shared" si="11"/>
        <v>FOATM8</v>
      </c>
      <c r="M181" s="360" t="s">
        <v>1948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957" t="s">
        <v>1968</v>
      </c>
      <c r="B182" s="927">
        <v>53107</v>
      </c>
      <c r="C182" s="920" t="s">
        <v>519</v>
      </c>
      <c r="D182" s="920" t="s">
        <v>694</v>
      </c>
      <c r="E182" s="985">
        <v>1.9770000000000001</v>
      </c>
      <c r="F182" s="928">
        <v>19.77</v>
      </c>
      <c r="G182" s="922" t="s">
        <v>1948</v>
      </c>
      <c r="H182" s="922" t="s">
        <v>1948</v>
      </c>
      <c r="I182" s="256" t="str">
        <f t="shared" si="8"/>
        <v>FR0011461037</v>
      </c>
      <c r="J182" s="256" t="str">
        <f t="shared" si="9"/>
        <v>FR0011461037</v>
      </c>
      <c r="K182" s="314" t="str">
        <f t="shared" si="10"/>
        <v>FOATM8</v>
      </c>
      <c r="L182" s="314" t="str">
        <f t="shared" si="11"/>
        <v>FOATM8</v>
      </c>
      <c r="M182" s="360" t="s">
        <v>1948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957" t="s">
        <v>1969</v>
      </c>
      <c r="B183" s="927">
        <v>54203</v>
      </c>
      <c r="C183" s="920" t="s">
        <v>968</v>
      </c>
      <c r="D183" s="950" t="s">
        <v>979</v>
      </c>
      <c r="E183" s="985">
        <v>1.8160000000000001</v>
      </c>
      <c r="F183" s="928">
        <v>18.16</v>
      </c>
      <c r="G183" s="922" t="s">
        <v>1948</v>
      </c>
      <c r="H183" s="922" t="s">
        <v>1948</v>
      </c>
      <c r="I183" s="256" t="str">
        <f t="shared" si="8"/>
        <v>FR0013257524</v>
      </c>
      <c r="J183" s="256" t="str">
        <f t="shared" si="9"/>
        <v>FR0013257524</v>
      </c>
      <c r="K183" s="314" t="str">
        <f t="shared" si="10"/>
        <v>FOATM8</v>
      </c>
      <c r="L183" s="314" t="str">
        <f t="shared" si="11"/>
        <v>FOATM8</v>
      </c>
      <c r="M183" s="360" t="s">
        <v>1948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957" t="s">
        <v>1970</v>
      </c>
      <c r="B184" s="927">
        <v>56729</v>
      </c>
      <c r="C184" s="920" t="s">
        <v>290</v>
      </c>
      <c r="D184" s="920" t="s">
        <v>695</v>
      </c>
      <c r="E184" s="985">
        <v>2.77</v>
      </c>
      <c r="F184" s="928">
        <v>27.7</v>
      </c>
      <c r="G184" s="922" t="s">
        <v>1948</v>
      </c>
      <c r="H184" s="922" t="s">
        <v>1948</v>
      </c>
      <c r="I184" s="256" t="str">
        <f t="shared" si="8"/>
        <v>FR0010171975</v>
      </c>
      <c r="J184" s="256" t="str">
        <f t="shared" si="9"/>
        <v>FR0010171975</v>
      </c>
      <c r="K184" s="314" t="str">
        <f t="shared" si="10"/>
        <v>FOATM8</v>
      </c>
      <c r="L184" s="314" t="str">
        <f t="shared" si="11"/>
        <v>FOATM8</v>
      </c>
      <c r="M184" s="360" t="s">
        <v>1948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957" t="s">
        <v>1971</v>
      </c>
      <c r="B185" s="927">
        <v>58556</v>
      </c>
      <c r="C185" s="920" t="s">
        <v>520</v>
      </c>
      <c r="D185" s="920" t="s">
        <v>696</v>
      </c>
      <c r="E185" s="985">
        <v>3.0760000000000001</v>
      </c>
      <c r="F185" s="928">
        <v>30.76</v>
      </c>
      <c r="G185" s="922" t="s">
        <v>1948</v>
      </c>
      <c r="H185" s="922" t="s">
        <v>1948</v>
      </c>
      <c r="I185" s="256" t="str">
        <f t="shared" si="8"/>
        <v>FR0010870956</v>
      </c>
      <c r="J185" s="256" t="str">
        <f t="shared" si="9"/>
        <v>FR0010870956</v>
      </c>
      <c r="K185" s="314" t="str">
        <f t="shared" si="10"/>
        <v>FOATM8</v>
      </c>
      <c r="L185" s="314" t="str">
        <f t="shared" si="11"/>
        <v>FOATM8</v>
      </c>
      <c r="M185" s="360" t="s">
        <v>1948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957" t="s">
        <v>1972</v>
      </c>
      <c r="B186" s="927">
        <v>60777</v>
      </c>
      <c r="C186" s="920" t="s">
        <v>861</v>
      </c>
      <c r="D186" s="920" t="s">
        <v>862</v>
      </c>
      <c r="E186" s="985">
        <v>2.2879999999999998</v>
      </c>
      <c r="F186" s="928">
        <v>22.88</v>
      </c>
      <c r="G186" s="922" t="s">
        <v>1948</v>
      </c>
      <c r="H186" s="922" t="s">
        <v>1948</v>
      </c>
      <c r="I186" s="256" t="str">
        <f t="shared" si="8"/>
        <v>FR0013154028</v>
      </c>
      <c r="J186" s="256" t="str">
        <f t="shared" si="9"/>
        <v>FR0013154028</v>
      </c>
      <c r="K186" s="314" t="str">
        <f t="shared" si="10"/>
        <v>FOATM8</v>
      </c>
      <c r="L186" s="314" t="str">
        <f t="shared" si="11"/>
        <v>FOATM8</v>
      </c>
      <c r="M186" s="360" t="s">
        <v>1948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932" t="s">
        <v>844</v>
      </c>
      <c r="B187" s="927"/>
      <c r="C187" s="920"/>
      <c r="D187" s="931" t="s">
        <v>599</v>
      </c>
      <c r="E187" s="933"/>
      <c r="F187" s="928"/>
      <c r="G187" s="922" t="s">
        <v>599</v>
      </c>
      <c r="H187" s="922" t="s">
        <v>599</v>
      </c>
      <c r="I187" s="256" t="str">
        <f t="shared" si="8"/>
        <v/>
      </c>
      <c r="J187" s="256" t="str">
        <f t="shared" si="9"/>
        <v/>
      </c>
      <c r="K187" s="314" t="str">
        <f t="shared" si="10"/>
        <v/>
      </c>
      <c r="L187" s="314" t="str">
        <f t="shared" si="11"/>
        <v/>
      </c>
      <c r="M187" s="360" t="s">
        <v>599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957" t="s">
        <v>1973</v>
      </c>
      <c r="B188" s="934">
        <v>43313</v>
      </c>
      <c r="C188" s="922" t="s">
        <v>521</v>
      </c>
      <c r="D188" s="920" t="s">
        <v>697</v>
      </c>
      <c r="E188" s="988">
        <v>0.17599999999999999</v>
      </c>
      <c r="F188" s="928">
        <v>1.7599999999999998</v>
      </c>
      <c r="G188" s="922" t="s">
        <v>1974</v>
      </c>
      <c r="H188" s="922" t="s">
        <v>1974</v>
      </c>
      <c r="I188" s="256" t="str">
        <f t="shared" si="8"/>
        <v>IT0004361041</v>
      </c>
      <c r="J188" s="256" t="str">
        <f t="shared" si="9"/>
        <v>IT0004361041</v>
      </c>
      <c r="K188" s="314" t="str">
        <f t="shared" si="10"/>
        <v>FBTSM8</v>
      </c>
      <c r="L188" s="314" t="str">
        <f t="shared" si="11"/>
        <v>FBTSM8</v>
      </c>
      <c r="M188" s="360" t="s">
        <v>1974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957" t="s">
        <v>1975</v>
      </c>
      <c r="B189" s="934">
        <v>43388</v>
      </c>
      <c r="C189" s="947" t="s">
        <v>768</v>
      </c>
      <c r="D189" s="929" t="s">
        <v>752</v>
      </c>
      <c r="E189" s="988">
        <v>0.251</v>
      </c>
      <c r="F189" s="928">
        <v>2.5099999999999998</v>
      </c>
      <c r="G189" s="922" t="s">
        <v>1974</v>
      </c>
      <c r="H189" s="922" t="s">
        <v>1974</v>
      </c>
      <c r="I189" s="256" t="str">
        <f t="shared" si="8"/>
        <v>IT0005139099</v>
      </c>
      <c r="J189" s="256" t="str">
        <f t="shared" si="9"/>
        <v>IT0005139099</v>
      </c>
      <c r="K189" s="314" t="str">
        <f t="shared" si="10"/>
        <v>FBTSM8</v>
      </c>
      <c r="L189" s="314" t="str">
        <f t="shared" si="11"/>
        <v>FBTSM8</v>
      </c>
      <c r="M189" s="360" t="s">
        <v>1974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957" t="s">
        <v>1976</v>
      </c>
      <c r="B190" s="934">
        <v>43435</v>
      </c>
      <c r="C190" s="922" t="s">
        <v>522</v>
      </c>
      <c r="D190" s="922" t="s">
        <v>421</v>
      </c>
      <c r="E190" s="988">
        <v>0.31</v>
      </c>
      <c r="F190" s="928">
        <v>3.1</v>
      </c>
      <c r="G190" s="922" t="s">
        <v>1974</v>
      </c>
      <c r="H190" s="922" t="s">
        <v>1974</v>
      </c>
      <c r="I190" s="261" t="str">
        <f t="shared" si="8"/>
        <v>IT0004957574</v>
      </c>
      <c r="J190" s="261" t="str">
        <f t="shared" si="9"/>
        <v>IT0004957574</v>
      </c>
      <c r="K190" s="314" t="str">
        <f t="shared" si="10"/>
        <v>FBTSM8</v>
      </c>
      <c r="L190" s="317" t="str">
        <f t="shared" si="11"/>
        <v>FBTSM8</v>
      </c>
      <c r="M190" s="360" t="s">
        <v>1974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957" t="s">
        <v>1977</v>
      </c>
      <c r="B191" s="934">
        <v>43497</v>
      </c>
      <c r="C191" s="922" t="s">
        <v>294</v>
      </c>
      <c r="D191" s="922" t="s">
        <v>563</v>
      </c>
      <c r="E191" s="988">
        <v>0.378</v>
      </c>
      <c r="F191" s="928">
        <v>3.7800000000000002</v>
      </c>
      <c r="G191" s="922" t="s">
        <v>1974</v>
      </c>
      <c r="H191" s="922" t="s">
        <v>1974</v>
      </c>
      <c r="I191" s="256" t="str">
        <f t="shared" si="8"/>
        <v>IT0003493258</v>
      </c>
      <c r="J191" s="256" t="str">
        <f t="shared" si="9"/>
        <v>IT0003493258</v>
      </c>
      <c r="K191" s="314" t="str">
        <f t="shared" si="10"/>
        <v>FBTSM8</v>
      </c>
      <c r="L191" s="314" t="str">
        <f t="shared" si="11"/>
        <v>FBTSM8</v>
      </c>
      <c r="M191" s="360" t="s">
        <v>1974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957" t="s">
        <v>1978</v>
      </c>
      <c r="B192" s="934">
        <v>43525</v>
      </c>
      <c r="C192" s="922" t="s">
        <v>523</v>
      </c>
      <c r="D192" s="922" t="s">
        <v>698</v>
      </c>
      <c r="E192" s="988">
        <v>0.41099999999999998</v>
      </c>
      <c r="F192" s="928">
        <v>4.1099999999999994</v>
      </c>
      <c r="G192" s="922" t="s">
        <v>1974</v>
      </c>
      <c r="H192" s="922" t="s">
        <v>1974</v>
      </c>
      <c r="I192" s="256" t="str">
        <f t="shared" si="8"/>
        <v>IT0004423957</v>
      </c>
      <c r="J192" s="256" t="str">
        <f t="shared" si="9"/>
        <v>IT0004423957</v>
      </c>
      <c r="K192" s="314" t="str">
        <f t="shared" si="10"/>
        <v>FBTSM8</v>
      </c>
      <c r="L192" s="314" t="str">
        <f t="shared" si="11"/>
        <v>FBTSM8</v>
      </c>
      <c r="M192" s="360" t="s">
        <v>1974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957" t="s">
        <v>1979</v>
      </c>
      <c r="B193" s="934">
        <v>43570</v>
      </c>
      <c r="C193" s="929" t="s">
        <v>863</v>
      </c>
      <c r="D193" s="922" t="s">
        <v>864</v>
      </c>
      <c r="E193" s="988">
        <v>0.44500000000000001</v>
      </c>
      <c r="F193" s="928">
        <v>4.45</v>
      </c>
      <c r="G193" s="922" t="s">
        <v>1974</v>
      </c>
      <c r="H193" s="922" t="s">
        <v>1974</v>
      </c>
      <c r="I193" s="256" t="str">
        <f t="shared" si="8"/>
        <v>IT0005177271</v>
      </c>
      <c r="J193" s="256" t="str">
        <f t="shared" si="9"/>
        <v>IT0005177271</v>
      </c>
      <c r="K193" s="314" t="str">
        <f t="shared" si="10"/>
        <v>FBTSM8</v>
      </c>
      <c r="L193" s="314" t="str">
        <f t="shared" si="11"/>
        <v>FBTSM8</v>
      </c>
      <c r="M193" s="360" t="s">
        <v>1974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957" t="s">
        <v>1980</v>
      </c>
      <c r="B194" s="934">
        <v>43586</v>
      </c>
      <c r="C194" s="922" t="s">
        <v>524</v>
      </c>
      <c r="D194" s="922" t="s">
        <v>699</v>
      </c>
      <c r="E194" s="988">
        <v>0.47299999999999998</v>
      </c>
      <c r="F194" s="928">
        <v>4.7299999999999995</v>
      </c>
      <c r="G194" s="922" t="s">
        <v>1974</v>
      </c>
      <c r="H194" s="922" t="s">
        <v>1974</v>
      </c>
      <c r="I194" s="256" t="str">
        <f t="shared" si="8"/>
        <v>IT0004992308</v>
      </c>
      <c r="J194" s="256" t="str">
        <f>I194</f>
        <v>IT0004992308</v>
      </c>
      <c r="K194" s="314" t="str">
        <f t="shared" si="10"/>
        <v>FBTSM8</v>
      </c>
      <c r="L194" s="314" t="str">
        <f>K194</f>
        <v>FBTSM8</v>
      </c>
      <c r="M194" s="360" t="s">
        <v>1974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957" t="s">
        <v>1981</v>
      </c>
      <c r="B195" s="934">
        <v>43678</v>
      </c>
      <c r="C195" s="922" t="s">
        <v>525</v>
      </c>
      <c r="D195" s="936" t="s">
        <v>585</v>
      </c>
      <c r="E195" s="988">
        <v>0.56899999999999995</v>
      </c>
      <c r="F195" s="928">
        <v>5.6899999999999995</v>
      </c>
      <c r="G195" s="922" t="s">
        <v>1974</v>
      </c>
      <c r="H195" s="922" t="s">
        <v>1974</v>
      </c>
      <c r="I195" s="256" t="str">
        <f t="shared" si="8"/>
        <v>IT0005030504</v>
      </c>
      <c r="J195" s="256" t="str">
        <f t="shared" si="9"/>
        <v>IT0005030504</v>
      </c>
      <c r="K195" s="314" t="str">
        <f t="shared" si="10"/>
        <v>FBTSM8</v>
      </c>
      <c r="L195" s="314" t="str">
        <f t="shared" si="11"/>
        <v>FBTSM8</v>
      </c>
      <c r="M195" s="360" t="s">
        <v>1974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957" t="s">
        <v>1982</v>
      </c>
      <c r="B196" s="934">
        <v>43709</v>
      </c>
      <c r="C196" s="922" t="s">
        <v>526</v>
      </c>
      <c r="D196" s="920" t="s">
        <v>334</v>
      </c>
      <c r="E196" s="988">
        <v>0.61699999999999999</v>
      </c>
      <c r="F196" s="928">
        <v>6.17</v>
      </c>
      <c r="G196" s="922" t="s">
        <v>1974</v>
      </c>
      <c r="H196" s="922" t="s">
        <v>1974</v>
      </c>
      <c r="I196" s="256" t="str">
        <f t="shared" ref="I196:I265" si="12">LEFT(D196,12)</f>
        <v>IT0004489610</v>
      </c>
      <c r="J196" s="256" t="str">
        <f t="shared" si="9"/>
        <v>IT0004489610</v>
      </c>
      <c r="K196" s="314" t="str">
        <f t="shared" ref="K196:K261" si="13">LEFT(H196,6)</f>
        <v>FBTSM8</v>
      </c>
      <c r="L196" s="314" t="str">
        <f t="shared" si="11"/>
        <v>FBTSM8</v>
      </c>
      <c r="M196" s="360" t="s">
        <v>1974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957" t="s">
        <v>1983</v>
      </c>
      <c r="B197" s="934">
        <v>43753</v>
      </c>
      <c r="C197" s="930" t="s">
        <v>894</v>
      </c>
      <c r="D197" s="930" t="s">
        <v>895</v>
      </c>
      <c r="E197" s="987">
        <v>0.63800000000000001</v>
      </c>
      <c r="F197" s="928">
        <v>6.38</v>
      </c>
      <c r="G197" s="922" t="s">
        <v>1974</v>
      </c>
      <c r="H197" s="922" t="s">
        <v>1974</v>
      </c>
      <c r="I197" s="256" t="str">
        <f t="shared" si="12"/>
        <v>IT0005217929</v>
      </c>
      <c r="J197" s="256" t="str">
        <f t="shared" si="9"/>
        <v>IT0005217929</v>
      </c>
      <c r="K197" s="314" t="str">
        <f t="shared" si="13"/>
        <v>FBTSM8</v>
      </c>
      <c r="L197" s="314" t="str">
        <f t="shared" si="11"/>
        <v>FBTSM8</v>
      </c>
      <c r="M197" s="360" t="s">
        <v>1974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957" t="s">
        <v>1984</v>
      </c>
      <c r="B198" s="934">
        <v>43800</v>
      </c>
      <c r="C198" s="922" t="s">
        <v>586</v>
      </c>
      <c r="D198" s="920" t="s">
        <v>587</v>
      </c>
      <c r="E198" s="986">
        <v>0.69699999999999995</v>
      </c>
      <c r="F198" s="928">
        <v>6.97</v>
      </c>
      <c r="G198" s="922" t="s">
        <v>1974</v>
      </c>
      <c r="H198" s="922" t="s">
        <v>1974</v>
      </c>
      <c r="I198" s="256" t="str">
        <f t="shared" si="12"/>
        <v>IT0005069395</v>
      </c>
      <c r="J198" s="256" t="str">
        <f t="shared" ref="J198:J272" si="14">I198</f>
        <v>IT0005069395</v>
      </c>
      <c r="K198" s="314" t="str">
        <f t="shared" si="13"/>
        <v>FBTSM8</v>
      </c>
      <c r="L198" s="314" t="str">
        <f t="shared" ref="L198:L271" si="15">K198</f>
        <v>FBTSM8</v>
      </c>
      <c r="M198" s="360" t="s">
        <v>1974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957" t="s">
        <v>1985</v>
      </c>
      <c r="B199" s="934">
        <v>43862</v>
      </c>
      <c r="C199" s="922" t="s">
        <v>295</v>
      </c>
      <c r="D199" s="920" t="s">
        <v>700</v>
      </c>
      <c r="E199" s="986">
        <v>0.79600000000000004</v>
      </c>
      <c r="F199" s="928">
        <v>7.9600000000000009</v>
      </c>
      <c r="G199" s="922" t="s">
        <v>1974</v>
      </c>
      <c r="H199" s="922" t="s">
        <v>1974</v>
      </c>
      <c r="I199" s="256" t="str">
        <f t="shared" si="12"/>
        <v>IT0003644769</v>
      </c>
      <c r="J199" s="256" t="str">
        <f t="shared" si="14"/>
        <v>IT0003644769</v>
      </c>
      <c r="K199" s="314" t="str">
        <f t="shared" si="13"/>
        <v>FBTSM8</v>
      </c>
      <c r="L199" s="314" t="str">
        <f t="shared" si="15"/>
        <v>FBTSM8</v>
      </c>
      <c r="M199" s="360" t="s">
        <v>1974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957" t="s">
        <v>1986</v>
      </c>
      <c r="B200" s="934">
        <v>43891</v>
      </c>
      <c r="C200" s="922" t="s">
        <v>527</v>
      </c>
      <c r="D200" s="920" t="s">
        <v>701</v>
      </c>
      <c r="E200" s="986">
        <v>0.82499999999999996</v>
      </c>
      <c r="F200" s="928">
        <v>8.25</v>
      </c>
      <c r="G200" s="922" t="s">
        <v>1974</v>
      </c>
      <c r="H200" s="922" t="s">
        <v>1974</v>
      </c>
      <c r="I200" s="256" t="str">
        <f t="shared" si="12"/>
        <v>IT0004536949</v>
      </c>
      <c r="J200" s="256" t="str">
        <f t="shared" si="14"/>
        <v>IT0004536949</v>
      </c>
      <c r="K200" s="314" t="str">
        <f t="shared" si="13"/>
        <v>FBTSM8</v>
      </c>
      <c r="L200" s="314" t="str">
        <f t="shared" si="15"/>
        <v>FBTSM8</v>
      </c>
      <c r="M200" s="360" t="s">
        <v>1974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957" t="s">
        <v>1987</v>
      </c>
      <c r="B201" s="934">
        <v>43952</v>
      </c>
      <c r="C201" s="929" t="s">
        <v>769</v>
      </c>
      <c r="D201" s="929" t="s">
        <v>751</v>
      </c>
      <c r="E201" s="986">
        <v>0.85699999999999998</v>
      </c>
      <c r="F201" s="928">
        <v>8.57</v>
      </c>
      <c r="G201" s="922" t="s">
        <v>1974</v>
      </c>
      <c r="H201" s="922" t="s">
        <v>1974</v>
      </c>
      <c r="I201" s="256" t="str">
        <f t="shared" si="12"/>
        <v>IT0005107708</v>
      </c>
      <c r="J201" s="256" t="str">
        <f t="shared" si="14"/>
        <v>IT0005107708</v>
      </c>
      <c r="K201" s="314" t="str">
        <f t="shared" si="13"/>
        <v>FBTSM8</v>
      </c>
      <c r="L201" s="314" t="str">
        <f t="shared" si="15"/>
        <v>FBTSM8</v>
      </c>
      <c r="M201" s="360" t="s">
        <v>1974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957" t="s">
        <v>1988</v>
      </c>
      <c r="B202" s="934">
        <v>43997</v>
      </c>
      <c r="C202" s="930" t="s">
        <v>992</v>
      </c>
      <c r="D202" s="930" t="s">
        <v>993</v>
      </c>
      <c r="E202" s="986">
        <v>0.89597000000000004</v>
      </c>
      <c r="F202" s="928">
        <v>8.9596999999999998</v>
      </c>
      <c r="G202" s="922" t="s">
        <v>1974</v>
      </c>
      <c r="H202" s="922" t="s">
        <v>1974</v>
      </c>
      <c r="I202" s="256" t="str">
        <f t="shared" si="12"/>
        <v>IT0005250946</v>
      </c>
      <c r="J202" s="256" t="str">
        <f t="shared" si="14"/>
        <v>IT0005250946</v>
      </c>
      <c r="K202" s="314" t="str">
        <f t="shared" si="13"/>
        <v>FBTSM8</v>
      </c>
      <c r="L202" s="314" t="str">
        <f t="shared" si="15"/>
        <v>FBTSM8</v>
      </c>
      <c r="M202" s="360" t="s">
        <v>1974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957" t="s">
        <v>1989</v>
      </c>
      <c r="B203" s="934">
        <v>44075</v>
      </c>
      <c r="C203" s="922" t="s">
        <v>528</v>
      </c>
      <c r="D203" s="920" t="s">
        <v>702</v>
      </c>
      <c r="E203" s="986">
        <v>0.96061799999999997</v>
      </c>
      <c r="F203" s="928">
        <v>10.29</v>
      </c>
      <c r="G203" s="922" t="s">
        <v>1974</v>
      </c>
      <c r="H203" s="922" t="s">
        <v>1974</v>
      </c>
      <c r="I203" s="256" t="str">
        <f t="shared" si="12"/>
        <v>IT0004594930</v>
      </c>
      <c r="J203" s="256" t="str">
        <f t="shared" si="14"/>
        <v>IT0004594930</v>
      </c>
      <c r="K203" s="314" t="str">
        <f t="shared" si="13"/>
        <v>FBTSM8</v>
      </c>
      <c r="L203" s="314" t="str">
        <f t="shared" si="15"/>
        <v>FBTSM8</v>
      </c>
      <c r="M203" s="360" t="s">
        <v>1974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957" t="s">
        <v>1990</v>
      </c>
      <c r="B204" s="934">
        <v>44119</v>
      </c>
      <c r="C204" s="935" t="s">
        <v>1690</v>
      </c>
      <c r="D204" s="950" t="s">
        <v>1630</v>
      </c>
      <c r="E204" s="986">
        <v>0.876637</v>
      </c>
      <c r="F204" s="928">
        <v>10.199999999999999</v>
      </c>
      <c r="G204" s="922" t="s">
        <v>1974</v>
      </c>
      <c r="H204" s="922" t="s">
        <v>1974</v>
      </c>
      <c r="I204" s="256" t="str">
        <f t="shared" si="12"/>
        <v>IT0005285041</v>
      </c>
      <c r="J204" s="256" t="str">
        <f>I204</f>
        <v>IT0005285041</v>
      </c>
      <c r="K204" s="314" t="str">
        <f t="shared" si="13"/>
        <v>FBTSM8</v>
      </c>
      <c r="L204" s="314" t="str">
        <f>K204</f>
        <v>FBTSM8</v>
      </c>
      <c r="M204" s="360" t="s">
        <v>1974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957" t="s">
        <v>1991</v>
      </c>
      <c r="B205" s="934">
        <v>44136</v>
      </c>
      <c r="C205" s="935" t="s">
        <v>969</v>
      </c>
      <c r="D205" s="950" t="s">
        <v>802</v>
      </c>
      <c r="E205" s="986">
        <v>0.88420399999999999</v>
      </c>
      <c r="F205" s="928">
        <v>10.45</v>
      </c>
      <c r="G205" s="922" t="s">
        <v>1974</v>
      </c>
      <c r="H205" s="922" t="s">
        <v>1974</v>
      </c>
      <c r="I205" s="256" t="str">
        <f t="shared" si="12"/>
        <v>IT0005142143</v>
      </c>
      <c r="J205" s="256" t="str">
        <f t="shared" si="14"/>
        <v>IT0005142143</v>
      </c>
      <c r="K205" s="314" t="str">
        <f t="shared" si="13"/>
        <v>FBTSM8</v>
      </c>
      <c r="L205" s="314" t="str">
        <f t="shared" si="15"/>
        <v>FBTSM8</v>
      </c>
      <c r="M205" s="360" t="s">
        <v>1974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957" t="s">
        <v>1992</v>
      </c>
      <c r="B206" s="934">
        <v>44256</v>
      </c>
      <c r="C206" s="922" t="s">
        <v>529</v>
      </c>
      <c r="D206" s="920" t="s">
        <v>703</v>
      </c>
      <c r="E206" s="986">
        <v>0.94625999999999999</v>
      </c>
      <c r="F206" s="928">
        <v>12.33</v>
      </c>
      <c r="G206" s="922" t="s">
        <v>1974</v>
      </c>
      <c r="H206" s="922" t="s">
        <v>1974</v>
      </c>
      <c r="I206" s="256" t="str">
        <f t="shared" si="12"/>
        <v>IT0004634132</v>
      </c>
      <c r="J206" s="256" t="str">
        <f t="shared" si="14"/>
        <v>IT0004634132</v>
      </c>
      <c r="K206" s="314" t="str">
        <f t="shared" si="13"/>
        <v>FBTSM8</v>
      </c>
      <c r="L206" s="314" t="str">
        <f t="shared" si="15"/>
        <v>FBTSM8</v>
      </c>
      <c r="M206" s="360" t="s">
        <v>1974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957" t="s">
        <v>1993</v>
      </c>
      <c r="B207" s="934">
        <v>44317</v>
      </c>
      <c r="C207" s="922" t="s">
        <v>530</v>
      </c>
      <c r="D207" s="920" t="s">
        <v>422</v>
      </c>
      <c r="E207" s="986">
        <v>0.94300600000000001</v>
      </c>
      <c r="F207" s="928">
        <v>13.03</v>
      </c>
      <c r="G207" s="922" t="s">
        <v>1974</v>
      </c>
      <c r="H207" s="922" t="s">
        <v>1974</v>
      </c>
      <c r="I207" s="256" t="str">
        <f t="shared" si="12"/>
        <v>IT0004966401</v>
      </c>
      <c r="J207" s="256" t="str">
        <f>I207</f>
        <v>IT0004966401</v>
      </c>
      <c r="K207" s="314" t="str">
        <f t="shared" si="13"/>
        <v>FBTSM8</v>
      </c>
      <c r="L207" s="314" t="str">
        <f>K207</f>
        <v>FBTSM8</v>
      </c>
      <c r="M207" s="360" t="s">
        <v>1974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957" t="s">
        <v>1994</v>
      </c>
      <c r="B208" s="934">
        <v>44348</v>
      </c>
      <c r="C208" s="936" t="s">
        <v>865</v>
      </c>
      <c r="D208" s="920" t="s">
        <v>823</v>
      </c>
      <c r="E208" s="986">
        <v>0.85305799999999998</v>
      </c>
      <c r="F208" s="928">
        <v>12.59</v>
      </c>
      <c r="G208" s="922" t="s">
        <v>1974</v>
      </c>
      <c r="H208" s="922" t="s">
        <v>1974</v>
      </c>
      <c r="I208" s="256" t="str">
        <f t="shared" si="12"/>
        <v>IT0005175598</v>
      </c>
      <c r="J208" s="256" t="str">
        <f t="shared" si="14"/>
        <v>IT0005175598</v>
      </c>
      <c r="K208" s="314" t="str">
        <f t="shared" si="13"/>
        <v>FBTSM8</v>
      </c>
      <c r="L208" s="314" t="str">
        <f t="shared" si="15"/>
        <v>FBTSM8</v>
      </c>
      <c r="M208" s="360" t="s">
        <v>1974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957" t="s">
        <v>1995</v>
      </c>
      <c r="B209" s="934">
        <v>44409</v>
      </c>
      <c r="C209" s="922" t="s">
        <v>531</v>
      </c>
      <c r="D209" s="920" t="s">
        <v>704</v>
      </c>
      <c r="E209" s="986">
        <v>0.93862800000000002</v>
      </c>
      <c r="F209" s="928">
        <v>14.06</v>
      </c>
      <c r="G209" s="922" t="s">
        <v>1974</v>
      </c>
      <c r="H209" s="922" t="s">
        <v>1974</v>
      </c>
      <c r="I209" s="256" t="str">
        <f t="shared" si="12"/>
        <v>IT0004009673</v>
      </c>
      <c r="J209" s="256" t="str">
        <f t="shared" si="14"/>
        <v>IT0004009673</v>
      </c>
      <c r="K209" s="314" t="str">
        <f t="shared" si="13"/>
        <v>FBTSM8</v>
      </c>
      <c r="L209" s="314" t="str">
        <f t="shared" si="15"/>
        <v>FBTSM8</v>
      </c>
      <c r="M209" s="360" t="s">
        <v>1974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957" t="s">
        <v>1996</v>
      </c>
      <c r="B210" s="934">
        <v>44440</v>
      </c>
      <c r="C210" s="922" t="s">
        <v>532</v>
      </c>
      <c r="D210" s="920" t="s">
        <v>705</v>
      </c>
      <c r="E210" s="986">
        <v>0.96623400000000004</v>
      </c>
      <c r="F210" s="928">
        <v>14.64</v>
      </c>
      <c r="G210" s="922" t="s">
        <v>1974</v>
      </c>
      <c r="H210" s="922" t="s">
        <v>1974</v>
      </c>
      <c r="I210" s="256" t="str">
        <f t="shared" si="12"/>
        <v>IT0004695075</v>
      </c>
      <c r="J210" s="256" t="str">
        <f t="shared" si="14"/>
        <v>IT0004695075</v>
      </c>
      <c r="K210" s="314" t="str">
        <f t="shared" si="13"/>
        <v>FBTSM8</v>
      </c>
      <c r="L210" s="314" t="str">
        <f t="shared" si="15"/>
        <v>FBTSM8</v>
      </c>
      <c r="M210" s="360" t="s">
        <v>1974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957" t="s">
        <v>1997</v>
      </c>
      <c r="B211" s="934">
        <v>44501</v>
      </c>
      <c r="C211" s="951" t="s">
        <v>970</v>
      </c>
      <c r="D211" s="950" t="s">
        <v>883</v>
      </c>
      <c r="E211" s="989">
        <v>0.316</v>
      </c>
      <c r="F211" s="928">
        <v>3.16</v>
      </c>
      <c r="G211" s="922" t="s">
        <v>2071</v>
      </c>
      <c r="H211" s="922" t="s">
        <v>2071</v>
      </c>
      <c r="I211" s="256" t="str">
        <f t="shared" si="12"/>
        <v>IT0005216491</v>
      </c>
      <c r="J211" s="256" t="str">
        <f t="shared" si="14"/>
        <v>IT0005216491</v>
      </c>
      <c r="K211" s="314" t="str">
        <f t="shared" si="13"/>
        <v>FBTPM8</v>
      </c>
      <c r="L211" s="314" t="str">
        <f t="shared" si="15"/>
        <v>FBTPM8</v>
      </c>
      <c r="M211" s="360" t="s">
        <v>2071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957" t="s">
        <v>1998</v>
      </c>
      <c r="B212" s="934">
        <v>44545</v>
      </c>
      <c r="C212" s="922" t="s">
        <v>588</v>
      </c>
      <c r="D212" s="920" t="s">
        <v>589</v>
      </c>
      <c r="E212" s="989">
        <v>0.33700000000000002</v>
      </c>
      <c r="F212" s="928">
        <v>3.37</v>
      </c>
      <c r="G212" s="922" t="s">
        <v>2071</v>
      </c>
      <c r="H212" s="922" t="s">
        <v>2071</v>
      </c>
      <c r="I212" s="256" t="str">
        <f t="shared" si="12"/>
        <v>IT0005028003</v>
      </c>
      <c r="J212" s="256" t="str">
        <f t="shared" si="14"/>
        <v>IT0005028003</v>
      </c>
      <c r="K212" s="314" t="str">
        <f t="shared" si="13"/>
        <v>FBTPM8</v>
      </c>
      <c r="L212" s="314" t="str">
        <f t="shared" si="15"/>
        <v>FBTPM8</v>
      </c>
      <c r="M212" s="360" t="s">
        <v>2071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957" t="s">
        <v>1999</v>
      </c>
      <c r="B213" s="927">
        <v>44621</v>
      </c>
      <c r="C213" s="922" t="s">
        <v>533</v>
      </c>
      <c r="D213" s="920" t="s">
        <v>706</v>
      </c>
      <c r="E213" s="989">
        <v>0.377</v>
      </c>
      <c r="F213" s="928">
        <v>3.77</v>
      </c>
      <c r="G213" s="922" t="s">
        <v>2071</v>
      </c>
      <c r="H213" s="922" t="s">
        <v>2071</v>
      </c>
      <c r="I213" s="256" t="str">
        <f t="shared" si="12"/>
        <v>IT0004759673</v>
      </c>
      <c r="J213" s="256" t="str">
        <f t="shared" si="14"/>
        <v>IT0004759673</v>
      </c>
      <c r="K213" s="314" t="str">
        <f t="shared" si="13"/>
        <v>FBTPM8</v>
      </c>
      <c r="L213" s="314" t="str">
        <f t="shared" si="15"/>
        <v>FBTPM8</v>
      </c>
      <c r="M213" s="360" t="s">
        <v>2071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957" t="s">
        <v>2000</v>
      </c>
      <c r="B214" s="927">
        <v>44652</v>
      </c>
      <c r="C214" s="951" t="s">
        <v>971</v>
      </c>
      <c r="D214" s="950" t="s">
        <v>980</v>
      </c>
      <c r="E214" s="989">
        <v>0.35399999999999998</v>
      </c>
      <c r="F214" s="928">
        <v>3.54</v>
      </c>
      <c r="G214" s="922" t="s">
        <v>2071</v>
      </c>
      <c r="H214" s="922" t="s">
        <v>2071</v>
      </c>
      <c r="I214" s="256" t="str">
        <f t="shared" si="12"/>
        <v>IT0005244782</v>
      </c>
      <c r="J214" s="256" t="str">
        <f t="shared" si="14"/>
        <v>IT0005244782</v>
      </c>
      <c r="K214" s="314" t="str">
        <f t="shared" si="13"/>
        <v>FBTPM8</v>
      </c>
      <c r="L214" s="314" t="str">
        <f t="shared" si="15"/>
        <v>FBTPM8</v>
      </c>
      <c r="M214" s="360" t="s">
        <v>2071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957" t="s">
        <v>2001</v>
      </c>
      <c r="B215" s="927">
        <v>44666</v>
      </c>
      <c r="C215" s="922" t="s">
        <v>590</v>
      </c>
      <c r="D215" s="920" t="s">
        <v>591</v>
      </c>
      <c r="E215" s="989">
        <v>0.35899999999999999</v>
      </c>
      <c r="F215" s="928">
        <v>3.59</v>
      </c>
      <c r="G215" s="922" t="s">
        <v>2071</v>
      </c>
      <c r="H215" s="922" t="s">
        <v>2071</v>
      </c>
      <c r="I215" s="256" t="str">
        <f t="shared" si="12"/>
        <v>IT0005086886</v>
      </c>
      <c r="J215" s="256" t="str">
        <f t="shared" si="14"/>
        <v>IT0005086886</v>
      </c>
      <c r="K215" s="314" t="str">
        <f t="shared" si="13"/>
        <v>FBTPM8</v>
      </c>
      <c r="L215" s="314" t="str">
        <f t="shared" si="15"/>
        <v>FBTPM8</v>
      </c>
      <c r="M215" s="360" t="s">
        <v>2071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957" t="s">
        <v>2002</v>
      </c>
      <c r="B216" s="927">
        <v>44774</v>
      </c>
      <c r="C216" s="922" t="s">
        <v>1691</v>
      </c>
      <c r="D216" s="920" t="s">
        <v>1631</v>
      </c>
      <c r="E216" s="989">
        <v>0.378</v>
      </c>
      <c r="F216" s="928">
        <v>3.7800000000000002</v>
      </c>
      <c r="G216" s="922" t="s">
        <v>2071</v>
      </c>
      <c r="H216" s="922" t="s">
        <v>2071</v>
      </c>
      <c r="I216" s="256" t="str">
        <f t="shared" si="12"/>
        <v>IT0005277444</v>
      </c>
      <c r="J216" s="256" t="str">
        <f t="shared" si="14"/>
        <v>IT0005277444</v>
      </c>
      <c r="K216" s="314" t="str">
        <f t="shared" si="13"/>
        <v>FBTPM8</v>
      </c>
      <c r="L216" s="314" t="str">
        <f t="shared" si="15"/>
        <v>FBTPM8</v>
      </c>
      <c r="M216" s="360" t="s">
        <v>2071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957" t="s">
        <v>2003</v>
      </c>
      <c r="B217" s="927">
        <v>44805</v>
      </c>
      <c r="C217" s="922" t="s">
        <v>534</v>
      </c>
      <c r="D217" s="920" t="s">
        <v>707</v>
      </c>
      <c r="E217" s="989">
        <v>0.42899999999999999</v>
      </c>
      <c r="F217" s="928">
        <v>4.29</v>
      </c>
      <c r="G217" s="922" t="s">
        <v>2071</v>
      </c>
      <c r="H217" s="922" t="s">
        <v>2071</v>
      </c>
      <c r="I217" s="256" t="str">
        <f t="shared" si="12"/>
        <v>IT0004801541</v>
      </c>
      <c r="J217" s="256" t="str">
        <f t="shared" si="14"/>
        <v>IT0004801541</v>
      </c>
      <c r="K217" s="314" t="str">
        <f t="shared" si="13"/>
        <v>FBTPM8</v>
      </c>
      <c r="L217" s="314" t="str">
        <f t="shared" si="15"/>
        <v>FBTPM8</v>
      </c>
      <c r="M217" s="360" t="s">
        <v>2071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957" t="s">
        <v>2004</v>
      </c>
      <c r="B218" s="927">
        <v>44819</v>
      </c>
      <c r="C218" s="951" t="s">
        <v>926</v>
      </c>
      <c r="D218" s="920" t="s">
        <v>820</v>
      </c>
      <c r="E218" s="989">
        <v>0.39300000000000002</v>
      </c>
      <c r="F218" s="928">
        <v>3.93</v>
      </c>
      <c r="G218" s="922" t="s">
        <v>2071</v>
      </c>
      <c r="H218" s="922" t="s">
        <v>2071</v>
      </c>
      <c r="I218" s="256" t="str">
        <f t="shared" si="12"/>
        <v>IT0005135840</v>
      </c>
      <c r="J218" s="256" t="str">
        <f t="shared" si="14"/>
        <v>IT0005135840</v>
      </c>
      <c r="K218" s="314" t="str">
        <f t="shared" si="13"/>
        <v>FBTPM8</v>
      </c>
      <c r="L218" s="314" t="str">
        <f t="shared" si="15"/>
        <v>FBTPM8</v>
      </c>
      <c r="M218" s="360" t="s">
        <v>2071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957" t="s">
        <v>2005</v>
      </c>
      <c r="B219" s="927">
        <v>44866</v>
      </c>
      <c r="C219" s="922" t="s">
        <v>535</v>
      </c>
      <c r="D219" s="920" t="s">
        <v>708</v>
      </c>
      <c r="E219" s="989">
        <v>0.44400000000000001</v>
      </c>
      <c r="F219" s="928">
        <v>4.4400000000000004</v>
      </c>
      <c r="G219" s="922" t="s">
        <v>2071</v>
      </c>
      <c r="H219" s="922" t="s">
        <v>2071</v>
      </c>
      <c r="I219" s="256" t="str">
        <f t="shared" si="12"/>
        <v>IT0004848831</v>
      </c>
      <c r="J219" s="256" t="str">
        <f t="shared" si="14"/>
        <v>IT0004848831</v>
      </c>
      <c r="K219" s="314" t="str">
        <f t="shared" si="13"/>
        <v>FBTPM8</v>
      </c>
      <c r="L219" s="314" t="str">
        <f t="shared" si="15"/>
        <v>FBTPM8</v>
      </c>
      <c r="M219" s="360" t="s">
        <v>2071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957" t="s">
        <v>2006</v>
      </c>
      <c r="B220" s="927">
        <v>45000</v>
      </c>
      <c r="C220" s="951" t="s">
        <v>927</v>
      </c>
      <c r="D220" s="920" t="s">
        <v>821</v>
      </c>
      <c r="E220" s="989">
        <v>0.42499999999999999</v>
      </c>
      <c r="F220" s="928">
        <v>4.25</v>
      </c>
      <c r="G220" s="922" t="s">
        <v>2071</v>
      </c>
      <c r="H220" s="922" t="s">
        <v>2071</v>
      </c>
      <c r="I220" s="256" t="str">
        <f t="shared" si="12"/>
        <v>IT0005172322</v>
      </c>
      <c r="J220" s="256" t="str">
        <f t="shared" si="14"/>
        <v>IT0005172322</v>
      </c>
      <c r="K220" s="314" t="str">
        <f t="shared" si="13"/>
        <v>FBTPM8</v>
      </c>
      <c r="L220" s="314" t="str">
        <f t="shared" si="15"/>
        <v>FBTPM8</v>
      </c>
      <c r="M220" s="360" t="s">
        <v>2071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957" t="s">
        <v>2007</v>
      </c>
      <c r="B221" s="946">
        <v>45047</v>
      </c>
      <c r="C221" s="922" t="s">
        <v>536</v>
      </c>
      <c r="D221" s="920" t="s">
        <v>709</v>
      </c>
      <c r="E221" s="989">
        <v>0.47899999999999998</v>
      </c>
      <c r="F221" s="928">
        <v>4.79</v>
      </c>
      <c r="G221" s="922" t="s">
        <v>2071</v>
      </c>
      <c r="H221" s="922" t="s">
        <v>2071</v>
      </c>
      <c r="I221" s="256" t="str">
        <f t="shared" si="12"/>
        <v>IT0004898034</v>
      </c>
      <c r="J221" s="256" t="str">
        <f t="shared" si="14"/>
        <v>IT0004898034</v>
      </c>
      <c r="K221" s="314" t="str">
        <f t="shared" si="13"/>
        <v>FBTPM8</v>
      </c>
      <c r="L221" s="314" t="str">
        <f t="shared" si="15"/>
        <v>FBTPM8</v>
      </c>
      <c r="M221" s="360" t="s">
        <v>2071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957" t="s">
        <v>2008</v>
      </c>
      <c r="B222" s="927">
        <v>45139</v>
      </c>
      <c r="C222" s="922" t="s">
        <v>537</v>
      </c>
      <c r="D222" s="920" t="s">
        <v>710</v>
      </c>
      <c r="E222" s="989">
        <v>0.505</v>
      </c>
      <c r="F222" s="928">
        <v>5.05</v>
      </c>
      <c r="G222" s="922" t="s">
        <v>2071</v>
      </c>
      <c r="H222" s="922" t="s">
        <v>2071</v>
      </c>
      <c r="I222" s="256" t="str">
        <f t="shared" si="12"/>
        <v>IT0004356843</v>
      </c>
      <c r="J222" s="256" t="str">
        <f t="shared" si="14"/>
        <v>IT0004356843</v>
      </c>
      <c r="K222" s="314" t="str">
        <f t="shared" si="13"/>
        <v>FBTPM8</v>
      </c>
      <c r="L222" s="314" t="str">
        <f t="shared" si="15"/>
        <v>FBTPM8</v>
      </c>
      <c r="M222" s="360" t="s">
        <v>2071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6.5" thickBot="1">
      <c r="A223" s="957" t="s">
        <v>2009</v>
      </c>
      <c r="B223" s="927">
        <v>45214</v>
      </c>
      <c r="C223" s="951" t="s">
        <v>972</v>
      </c>
      <c r="D223" s="950" t="s">
        <v>932</v>
      </c>
      <c r="E223" s="989">
        <v>0.46400000000000002</v>
      </c>
      <c r="F223" s="928">
        <v>4.6400000000000006</v>
      </c>
      <c r="G223" s="922" t="s">
        <v>2071</v>
      </c>
      <c r="H223" s="922" t="s">
        <v>2071</v>
      </c>
      <c r="I223" s="362" t="s">
        <v>932</v>
      </c>
      <c r="J223" s="362" t="s">
        <v>932</v>
      </c>
      <c r="K223" s="314" t="str">
        <f t="shared" si="13"/>
        <v>FBTPM8</v>
      </c>
      <c r="L223" s="314" t="str">
        <f>K223</f>
        <v>FBTPM8</v>
      </c>
      <c r="M223" s="360" t="s">
        <v>2071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957" t="s">
        <v>2010</v>
      </c>
      <c r="B224" s="927">
        <v>45231</v>
      </c>
      <c r="C224" s="922" t="s">
        <v>296</v>
      </c>
      <c r="D224" s="920" t="s">
        <v>711</v>
      </c>
      <c r="E224" s="989">
        <v>0.58799999999999997</v>
      </c>
      <c r="F224" s="928">
        <v>5.88</v>
      </c>
      <c r="G224" s="922" t="s">
        <v>2071</v>
      </c>
      <c r="H224" s="922" t="s">
        <v>2071</v>
      </c>
      <c r="I224" s="261" t="str">
        <f t="shared" si="12"/>
        <v>IT0000366655</v>
      </c>
      <c r="J224" s="261" t="str">
        <f t="shared" si="14"/>
        <v>IT0000366655</v>
      </c>
      <c r="K224" s="314" t="str">
        <f t="shared" si="13"/>
        <v>FBTPM8</v>
      </c>
      <c r="L224" s="317" t="str">
        <f t="shared" si="15"/>
        <v>FBTPM8</v>
      </c>
      <c r="M224" s="360" t="s">
        <v>2071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957" t="s">
        <v>2011</v>
      </c>
      <c r="B225" s="927">
        <v>45282</v>
      </c>
      <c r="C225" s="920" t="s">
        <v>297</v>
      </c>
      <c r="D225" s="920" t="s">
        <v>1697</v>
      </c>
      <c r="E225" s="989">
        <v>0.60599999999999998</v>
      </c>
      <c r="F225" s="928">
        <v>6.06</v>
      </c>
      <c r="G225" s="922" t="s">
        <v>2071</v>
      </c>
      <c r="H225" s="922" t="s">
        <v>2071</v>
      </c>
      <c r="I225" s="256" t="str">
        <f t="shared" si="12"/>
        <v>IT0000366721</v>
      </c>
      <c r="J225" s="256" t="str">
        <f t="shared" si="14"/>
        <v>IT0000366721</v>
      </c>
      <c r="K225" s="314" t="str">
        <f t="shared" si="13"/>
        <v>FBTPM8</v>
      </c>
      <c r="L225" s="314" t="str">
        <f t="shared" si="15"/>
        <v>FBTPM8</v>
      </c>
      <c r="M225" s="360" t="s">
        <v>2071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957" t="s">
        <v>2012</v>
      </c>
      <c r="B226" s="934">
        <v>45352</v>
      </c>
      <c r="C226" s="922" t="s">
        <v>538</v>
      </c>
      <c r="D226" s="920" t="s">
        <v>712</v>
      </c>
      <c r="E226" s="989">
        <v>0.55000000000000004</v>
      </c>
      <c r="F226" s="928">
        <v>5.5</v>
      </c>
      <c r="G226" s="922" t="s">
        <v>2071</v>
      </c>
      <c r="H226" s="922" t="s">
        <v>2071</v>
      </c>
      <c r="I226" s="256" t="str">
        <f t="shared" si="12"/>
        <v>IT0004953417</v>
      </c>
      <c r="J226" s="256" t="str">
        <f>I226</f>
        <v>IT0004953417</v>
      </c>
      <c r="K226" s="314" t="str">
        <f t="shared" si="13"/>
        <v>FBTPM8</v>
      </c>
      <c r="L226" s="314" t="str">
        <f>K226</f>
        <v>FBTPM8</v>
      </c>
      <c r="M226" s="360" t="s">
        <v>2071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957" t="s">
        <v>2013</v>
      </c>
      <c r="B227" s="934">
        <v>45427</v>
      </c>
      <c r="C227" s="935" t="s">
        <v>973</v>
      </c>
      <c r="D227" s="935" t="s">
        <v>932</v>
      </c>
      <c r="E227" s="989">
        <v>0.52200000000000002</v>
      </c>
      <c r="F227" s="928">
        <v>5.2200000000000006</v>
      </c>
      <c r="G227" s="922" t="s">
        <v>2071</v>
      </c>
      <c r="H227" s="922" t="s">
        <v>2071</v>
      </c>
      <c r="I227" s="256" t="str">
        <f t="shared" si="12"/>
        <v>IT0005246340</v>
      </c>
      <c r="J227" s="256" t="str">
        <f t="shared" si="14"/>
        <v>IT0005246340</v>
      </c>
      <c r="K227" s="314" t="str">
        <f t="shared" si="13"/>
        <v>FBTPM8</v>
      </c>
      <c r="L227" s="314" t="str">
        <f t="shared" si="15"/>
        <v>FBTPM8</v>
      </c>
      <c r="M227" s="360" t="s">
        <v>2071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957" t="s">
        <v>2014</v>
      </c>
      <c r="B228" s="934">
        <v>45536</v>
      </c>
      <c r="C228" s="937" t="s">
        <v>539</v>
      </c>
      <c r="D228" s="931" t="s">
        <v>423</v>
      </c>
      <c r="E228" s="989">
        <v>0.57799999999999996</v>
      </c>
      <c r="F228" s="928">
        <v>5.7799999999999994</v>
      </c>
      <c r="G228" s="922" t="s">
        <v>2071</v>
      </c>
      <c r="H228" s="922" t="s">
        <v>2071</v>
      </c>
      <c r="I228" s="256" t="str">
        <f t="shared" si="12"/>
        <v>IT0005001547</v>
      </c>
      <c r="J228" s="256" t="str">
        <f t="shared" si="14"/>
        <v>IT0005001547</v>
      </c>
      <c r="K228" s="314" t="str">
        <f t="shared" si="13"/>
        <v>FBTPM8</v>
      </c>
      <c r="L228" s="314" t="str">
        <f t="shared" si="15"/>
        <v>FBTPM8</v>
      </c>
      <c r="M228" s="360" t="s">
        <v>2071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957" t="s">
        <v>2015</v>
      </c>
      <c r="B229" s="934">
        <v>45611</v>
      </c>
      <c r="C229" s="937" t="s">
        <v>1692</v>
      </c>
      <c r="D229" s="931" t="s">
        <v>994</v>
      </c>
      <c r="E229" s="989">
        <v>0.54900000000000004</v>
      </c>
      <c r="F229" s="928">
        <v>5.49</v>
      </c>
      <c r="G229" s="922" t="s">
        <v>2071</v>
      </c>
      <c r="H229" s="922" t="s">
        <v>2071</v>
      </c>
      <c r="I229" s="256" t="str">
        <f t="shared" si="12"/>
        <v>IT0005282527</v>
      </c>
      <c r="J229" s="256" t="str">
        <f>I229</f>
        <v>IT0005282527</v>
      </c>
      <c r="K229" s="314" t="str">
        <f t="shared" si="13"/>
        <v>FBTPM8</v>
      </c>
      <c r="L229" s="314" t="str">
        <f>K229</f>
        <v>FBTPM8</v>
      </c>
      <c r="M229" s="360" t="s">
        <v>2071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957" t="s">
        <v>2016</v>
      </c>
      <c r="B230" s="934">
        <v>45627</v>
      </c>
      <c r="C230" s="937" t="s">
        <v>540</v>
      </c>
      <c r="D230" s="929" t="s">
        <v>424</v>
      </c>
      <c r="E230" s="989">
        <v>0.57399999999999995</v>
      </c>
      <c r="F230" s="928">
        <v>5.7399999999999993</v>
      </c>
      <c r="G230" s="922" t="s">
        <v>2071</v>
      </c>
      <c r="H230" s="922" t="s">
        <v>2071</v>
      </c>
      <c r="I230" s="256" t="str">
        <f>LEFT(D230,12)</f>
        <v>IT0005045270</v>
      </c>
      <c r="J230" s="256" t="str">
        <f>I230</f>
        <v>IT0005045270</v>
      </c>
      <c r="K230" s="314" t="str">
        <f t="shared" si="13"/>
        <v>FBTPM8</v>
      </c>
      <c r="L230" s="314" t="str">
        <f>K230</f>
        <v>FBTPM8</v>
      </c>
      <c r="M230" s="360" t="s">
        <v>2071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957" t="s">
        <v>2017</v>
      </c>
      <c r="B231" s="934">
        <v>45717</v>
      </c>
      <c r="C231" s="922" t="s">
        <v>541</v>
      </c>
      <c r="D231" s="920" t="s">
        <v>713</v>
      </c>
      <c r="E231" s="989">
        <v>0.64400000000000002</v>
      </c>
      <c r="F231" s="928">
        <v>6.44</v>
      </c>
      <c r="G231" s="922" t="s">
        <v>2071</v>
      </c>
      <c r="H231" s="922" t="s">
        <v>2071</v>
      </c>
      <c r="I231" s="256" t="str">
        <f t="shared" si="12"/>
        <v>IT0004513641</v>
      </c>
      <c r="J231" s="256" t="str">
        <f t="shared" si="14"/>
        <v>IT0004513641</v>
      </c>
      <c r="K231" s="314" t="str">
        <f t="shared" si="13"/>
        <v>FBTPM8</v>
      </c>
      <c r="L231" s="314" t="str">
        <f t="shared" si="15"/>
        <v>FBTPM8</v>
      </c>
      <c r="M231" s="360" t="s">
        <v>2071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957" t="s">
        <v>2018</v>
      </c>
      <c r="B232" s="934">
        <v>45809</v>
      </c>
      <c r="C232" s="929" t="s">
        <v>592</v>
      </c>
      <c r="D232" s="948" t="s">
        <v>593</v>
      </c>
      <c r="E232" s="989">
        <v>0.58599999999999997</v>
      </c>
      <c r="F232" s="928">
        <v>5.8599999999999994</v>
      </c>
      <c r="G232" s="922" t="s">
        <v>2071</v>
      </c>
      <c r="H232" s="922" t="s">
        <v>2071</v>
      </c>
      <c r="I232" s="256" t="str">
        <f t="shared" si="12"/>
        <v>IT0005090318</v>
      </c>
      <c r="J232" s="256" t="str">
        <f t="shared" si="14"/>
        <v>IT0005090318</v>
      </c>
      <c r="K232" s="314" t="str">
        <f t="shared" si="13"/>
        <v>FBTPM8</v>
      </c>
      <c r="L232" s="314" t="str">
        <f t="shared" si="15"/>
        <v>FBTPM8</v>
      </c>
      <c r="M232" s="360" t="s">
        <v>2071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957" t="s">
        <v>2019</v>
      </c>
      <c r="B233" s="934">
        <v>45992</v>
      </c>
      <c r="C233" s="929" t="s">
        <v>770</v>
      </c>
      <c r="D233" s="948" t="s">
        <v>749</v>
      </c>
      <c r="E233" s="989">
        <v>0.63</v>
      </c>
      <c r="F233" s="928">
        <v>6.3</v>
      </c>
      <c r="G233" s="922" t="s">
        <v>2071</v>
      </c>
      <c r="H233" s="922" t="s">
        <v>2071</v>
      </c>
      <c r="I233" s="256" t="str">
        <f t="shared" si="12"/>
        <v>IT0005127086</v>
      </c>
      <c r="J233" s="256" t="str">
        <f t="shared" si="14"/>
        <v>IT0005127086</v>
      </c>
      <c r="K233" s="314" t="str">
        <f t="shared" si="13"/>
        <v>FBTPM8</v>
      </c>
      <c r="L233" s="314" t="str">
        <f t="shared" si="15"/>
        <v>FBTPM8</v>
      </c>
      <c r="M233" s="360" t="s">
        <v>2071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957" t="s">
        <v>2020</v>
      </c>
      <c r="B234" s="934">
        <v>46082</v>
      </c>
      <c r="C234" s="922" t="s">
        <v>542</v>
      </c>
      <c r="D234" s="920" t="s">
        <v>714</v>
      </c>
      <c r="E234" s="989">
        <v>0.71399999999999997</v>
      </c>
      <c r="F234" s="928">
        <v>7.14</v>
      </c>
      <c r="G234" s="922" t="s">
        <v>2071</v>
      </c>
      <c r="H234" s="922" t="s">
        <v>2071</v>
      </c>
      <c r="I234" s="256" t="str">
        <f t="shared" si="12"/>
        <v>IT0004644735</v>
      </c>
      <c r="J234" s="256" t="str">
        <f t="shared" si="14"/>
        <v>IT0004644735</v>
      </c>
      <c r="K234" s="314" t="str">
        <f t="shared" si="13"/>
        <v>FBTPM8</v>
      </c>
      <c r="L234" s="314" t="str">
        <f t="shared" si="15"/>
        <v>FBTPM8</v>
      </c>
      <c r="M234" s="360" t="s">
        <v>2071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957" t="s">
        <v>2021</v>
      </c>
      <c r="B235" s="934">
        <v>46174</v>
      </c>
      <c r="C235" s="929" t="s">
        <v>866</v>
      </c>
      <c r="D235" s="929" t="s">
        <v>800</v>
      </c>
      <c r="E235" s="989">
        <v>0.65100000000000002</v>
      </c>
      <c r="F235" s="928">
        <v>6.51</v>
      </c>
      <c r="G235" s="922" t="s">
        <v>2071</v>
      </c>
      <c r="H235" s="922" t="s">
        <v>2071</v>
      </c>
      <c r="I235" s="256" t="str">
        <f t="shared" si="12"/>
        <v>IT0005170839</v>
      </c>
      <c r="J235" s="256" t="str">
        <f t="shared" si="14"/>
        <v>IT0005170839</v>
      </c>
      <c r="K235" s="314" t="str">
        <f t="shared" si="13"/>
        <v>FBTPM8</v>
      </c>
      <c r="L235" s="314" t="str">
        <f t="shared" si="15"/>
        <v>FBTPM8</v>
      </c>
      <c r="M235" s="360" t="s">
        <v>2071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957" t="s">
        <v>2022</v>
      </c>
      <c r="B236" s="934">
        <v>46327</v>
      </c>
      <c r="C236" s="922" t="s">
        <v>298</v>
      </c>
      <c r="D236" s="920" t="s">
        <v>715</v>
      </c>
      <c r="E236" s="989">
        <v>0.85299999999999998</v>
      </c>
      <c r="F236" s="928">
        <v>8.5299999999999994</v>
      </c>
      <c r="G236" s="922" t="s">
        <v>2071</v>
      </c>
      <c r="H236" s="922" t="s">
        <v>2071</v>
      </c>
      <c r="I236" s="256" t="str">
        <f>LEFT(D236,12)</f>
        <v>IT0001086567</v>
      </c>
      <c r="J236" s="256" t="str">
        <f>I236</f>
        <v>IT0001086567</v>
      </c>
      <c r="K236" s="314" t="str">
        <f t="shared" si="13"/>
        <v>FBTPM8</v>
      </c>
      <c r="L236" s="314" t="str">
        <f>K236</f>
        <v>FBTPM8</v>
      </c>
      <c r="M236" s="360" t="s">
        <v>2071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957" t="s">
        <v>2023</v>
      </c>
      <c r="B237" s="934">
        <v>42705</v>
      </c>
      <c r="C237" s="929" t="s">
        <v>876</v>
      </c>
      <c r="D237" s="929" t="s">
        <v>872</v>
      </c>
      <c r="E237" s="989">
        <v>0.67200000000000004</v>
      </c>
      <c r="F237" s="928">
        <v>6.7200000000000006</v>
      </c>
      <c r="G237" s="922" t="s">
        <v>2071</v>
      </c>
      <c r="H237" s="922" t="s">
        <v>2071</v>
      </c>
      <c r="I237" s="256" t="str">
        <f t="shared" si="12"/>
        <v>IT0005210650</v>
      </c>
      <c r="J237" s="256" t="str">
        <f t="shared" si="14"/>
        <v>IT0005210650</v>
      </c>
      <c r="K237" s="314" t="str">
        <f t="shared" si="13"/>
        <v>FBTPM8</v>
      </c>
      <c r="L237" s="314" t="str">
        <f t="shared" si="15"/>
        <v>FBTPM8</v>
      </c>
      <c r="M237" s="360" t="s">
        <v>2071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957" t="s">
        <v>2024</v>
      </c>
      <c r="B238" s="934">
        <v>46539</v>
      </c>
      <c r="C238" s="935" t="s">
        <v>928</v>
      </c>
      <c r="D238" s="929" t="s">
        <v>900</v>
      </c>
      <c r="E238" s="989">
        <v>0.74431800000000004</v>
      </c>
      <c r="F238" s="928">
        <v>7.3</v>
      </c>
      <c r="G238" s="922" t="s">
        <v>2071</v>
      </c>
      <c r="H238" s="922" t="s">
        <v>2071</v>
      </c>
      <c r="I238" s="256" t="str">
        <f>LEFT(D238,12)</f>
        <v>IT0005240830</v>
      </c>
      <c r="J238" s="256" t="str">
        <f>I238</f>
        <v>IT0005240830</v>
      </c>
      <c r="K238" s="314" t="str">
        <f t="shared" si="13"/>
        <v>FBTPM8</v>
      </c>
      <c r="L238" s="314" t="str">
        <f>K238</f>
        <v>FBTPM8</v>
      </c>
      <c r="M238" s="360" t="s">
        <v>2071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957" t="s">
        <v>2025</v>
      </c>
      <c r="B239" s="927">
        <v>46600</v>
      </c>
      <c r="C239" s="935" t="s">
        <v>983</v>
      </c>
      <c r="D239" s="956" t="s">
        <v>982</v>
      </c>
      <c r="E239" s="989">
        <v>0.73009599999999997</v>
      </c>
      <c r="F239" s="928">
        <v>7.35</v>
      </c>
      <c r="G239" s="922" t="s">
        <v>2071</v>
      </c>
      <c r="H239" s="922" t="s">
        <v>2071</v>
      </c>
      <c r="I239" s="256" t="str">
        <f>LEFT(D239,12)</f>
        <v>IT0005274805</v>
      </c>
      <c r="J239" s="256" t="str">
        <f>I239</f>
        <v>IT0005274805</v>
      </c>
      <c r="K239" s="314" t="str">
        <f>LEFT(H239,6)</f>
        <v>FBTPM8</v>
      </c>
      <c r="L239" s="314" t="str">
        <f>K239</f>
        <v>FBTPM8</v>
      </c>
      <c r="M239" s="360" t="s">
        <v>2071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957" t="s">
        <v>2026</v>
      </c>
      <c r="B240" s="934">
        <v>46692</v>
      </c>
      <c r="C240" s="922" t="s">
        <v>299</v>
      </c>
      <c r="D240" s="920" t="s">
        <v>716</v>
      </c>
      <c r="E240" s="989">
        <v>0.91800000000000004</v>
      </c>
      <c r="F240" s="928">
        <v>9.18</v>
      </c>
      <c r="G240" s="922" t="s">
        <v>2071</v>
      </c>
      <c r="H240" s="922" t="s">
        <v>2071</v>
      </c>
      <c r="I240" s="256" t="str">
        <f t="shared" si="12"/>
        <v>IT0001174611</v>
      </c>
      <c r="J240" s="256" t="str">
        <f t="shared" si="14"/>
        <v>IT0001174611</v>
      </c>
      <c r="K240" s="314" t="str">
        <f t="shared" si="13"/>
        <v>FBTPM8</v>
      </c>
      <c r="L240" s="314" t="str">
        <f t="shared" si="15"/>
        <v>FBTPM8</v>
      </c>
      <c r="M240" s="360" t="s">
        <v>2071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957" t="s">
        <v>2027</v>
      </c>
      <c r="B241" s="934">
        <v>46784</v>
      </c>
      <c r="C241" s="935" t="s">
        <v>2028</v>
      </c>
      <c r="D241" s="935" t="s">
        <v>1713</v>
      </c>
      <c r="E241" s="989">
        <v>0.71554300000000004</v>
      </c>
      <c r="F241" s="928">
        <v>7.61</v>
      </c>
      <c r="G241" s="922" t="s">
        <v>2071</v>
      </c>
      <c r="H241" s="922" t="s">
        <v>2071</v>
      </c>
      <c r="I241" s="256" t="str">
        <f t="shared" si="12"/>
        <v>IT0005323032</v>
      </c>
      <c r="J241" s="256" t="str">
        <f t="shared" si="14"/>
        <v>IT0005323032</v>
      </c>
      <c r="K241" s="314" t="str">
        <f t="shared" si="13"/>
        <v>FBTPM8</v>
      </c>
      <c r="L241" s="314" t="str">
        <f t="shared" si="15"/>
        <v>FBTPM8</v>
      </c>
      <c r="M241" s="360" t="s">
        <v>2071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957" t="s">
        <v>2029</v>
      </c>
      <c r="B242" s="927">
        <v>46997</v>
      </c>
      <c r="C242" s="920" t="s">
        <v>543</v>
      </c>
      <c r="D242" s="920" t="s">
        <v>717</v>
      </c>
      <c r="E242" s="989">
        <v>0.91164000000000001</v>
      </c>
      <c r="F242" s="928">
        <v>9.1164000000000005</v>
      </c>
      <c r="G242" s="922" t="s">
        <v>2071</v>
      </c>
      <c r="H242" s="922" t="s">
        <v>2071</v>
      </c>
      <c r="I242" s="256" t="str">
        <f>LEFT(D242,12)</f>
        <v>IT0004889033</v>
      </c>
      <c r="J242" s="256" t="str">
        <f>I242</f>
        <v>IT0004889033</v>
      </c>
      <c r="K242" s="314" t="str">
        <f>LEFT(H242,6)</f>
        <v>FBTPM8</v>
      </c>
      <c r="L242" s="314" t="str">
        <f>K242</f>
        <v>FBTPM8</v>
      </c>
      <c r="M242" s="360" t="s">
        <v>2071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957" t="s">
        <v>2030</v>
      </c>
      <c r="B243" s="927">
        <v>47423</v>
      </c>
      <c r="C243" s="920" t="s">
        <v>300</v>
      </c>
      <c r="D243" s="920" t="s">
        <v>718</v>
      </c>
      <c r="E243" s="990">
        <v>1.026</v>
      </c>
      <c r="F243" s="928">
        <v>10.26</v>
      </c>
      <c r="G243" s="922" t="s">
        <v>2071</v>
      </c>
      <c r="H243" s="922" t="s">
        <v>2071</v>
      </c>
      <c r="I243" s="256" t="str">
        <f t="shared" si="12"/>
        <v>IT0001278511</v>
      </c>
      <c r="J243" s="256" t="str">
        <f t="shared" si="14"/>
        <v>IT0001278511</v>
      </c>
      <c r="K243" s="314" t="str">
        <f t="shared" si="13"/>
        <v>FBTPM8</v>
      </c>
      <c r="L243" s="314" t="str">
        <f t="shared" si="15"/>
        <v>FBTPM8</v>
      </c>
      <c r="M243" s="360" t="s">
        <v>2071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957" t="s">
        <v>2031</v>
      </c>
      <c r="B244" s="927">
        <v>47543</v>
      </c>
      <c r="C244" s="931" t="s">
        <v>544</v>
      </c>
      <c r="D244" s="931" t="s">
        <v>425</v>
      </c>
      <c r="E244" s="990">
        <v>0.95199999999999996</v>
      </c>
      <c r="F244" s="928">
        <v>9.52</v>
      </c>
      <c r="G244" s="922" t="s">
        <v>2071</v>
      </c>
      <c r="H244" s="922" t="s">
        <v>2071</v>
      </c>
      <c r="I244" s="256" t="str">
        <f t="shared" si="12"/>
        <v>IT0005024234</v>
      </c>
      <c r="J244" s="256" t="str">
        <f t="shared" si="14"/>
        <v>IT0005024234</v>
      </c>
      <c r="K244" s="314" t="str">
        <f t="shared" si="13"/>
        <v>FBTPM8</v>
      </c>
      <c r="L244" s="314" t="str">
        <f t="shared" si="15"/>
        <v>FBTPM8</v>
      </c>
      <c r="M244" s="360" t="s">
        <v>2071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957" t="s">
        <v>2032</v>
      </c>
      <c r="B245" s="927">
        <v>47969</v>
      </c>
      <c r="C245" s="920" t="s">
        <v>301</v>
      </c>
      <c r="D245" s="920" t="s">
        <v>719</v>
      </c>
      <c r="E245" s="990">
        <v>1.1850000000000001</v>
      </c>
      <c r="F245" s="928">
        <v>11.850000000000001</v>
      </c>
      <c r="G245" s="922" t="s">
        <v>2071</v>
      </c>
      <c r="H245" s="922" t="s">
        <v>2071</v>
      </c>
      <c r="I245" s="256" t="str">
        <f t="shared" si="12"/>
        <v>IT0001444378</v>
      </c>
      <c r="J245" s="256" t="str">
        <f t="shared" si="14"/>
        <v>IT0001444378</v>
      </c>
      <c r="K245" s="314" t="str">
        <f t="shared" si="13"/>
        <v>FBTPM8</v>
      </c>
      <c r="L245" s="314" t="str">
        <f t="shared" si="15"/>
        <v>FBTPM8</v>
      </c>
      <c r="M245" s="360" t="s">
        <v>2071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957" t="s">
        <v>2033</v>
      </c>
      <c r="B246" s="927">
        <v>48274</v>
      </c>
      <c r="C246" s="935" t="s">
        <v>974</v>
      </c>
      <c r="D246" s="950" t="s">
        <v>824</v>
      </c>
      <c r="E246" s="990">
        <v>0.95799999999999996</v>
      </c>
      <c r="F246" s="928">
        <v>9.58</v>
      </c>
      <c r="G246" s="922" t="s">
        <v>2071</v>
      </c>
      <c r="H246" s="922" t="s">
        <v>2071</v>
      </c>
      <c r="I246" s="256" t="str">
        <f t="shared" si="12"/>
        <v>IT0005094088</v>
      </c>
      <c r="J246" s="256" t="str">
        <f t="shared" si="14"/>
        <v>IT0005094088</v>
      </c>
      <c r="K246" s="314" t="str">
        <f t="shared" si="13"/>
        <v>FBTPM8</v>
      </c>
      <c r="L246" s="314" t="str">
        <f t="shared" si="15"/>
        <v>FBTPM8</v>
      </c>
      <c r="M246" s="360" t="s">
        <v>2071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957" t="s">
        <v>2034</v>
      </c>
      <c r="B247" s="927">
        <v>48611</v>
      </c>
      <c r="C247" s="920" t="s">
        <v>302</v>
      </c>
      <c r="D247" s="920" t="s">
        <v>720</v>
      </c>
      <c r="E247" s="990">
        <v>1.302</v>
      </c>
      <c r="F247" s="928">
        <v>13.02</v>
      </c>
      <c r="G247" s="922" t="s">
        <v>2071</v>
      </c>
      <c r="H247" s="922" t="s">
        <v>2071</v>
      </c>
      <c r="I247" s="256" t="str">
        <f t="shared" si="12"/>
        <v>IT0003256820</v>
      </c>
      <c r="J247" s="256" t="str">
        <f t="shared" si="14"/>
        <v>IT0003256820</v>
      </c>
      <c r="K247" s="314" t="str">
        <f t="shared" si="13"/>
        <v>FBTPM8</v>
      </c>
      <c r="L247" s="314" t="str">
        <f t="shared" si="15"/>
        <v>FBTPM8</v>
      </c>
      <c r="M247" s="360" t="s">
        <v>2071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957" t="s">
        <v>2035</v>
      </c>
      <c r="B248" s="927">
        <v>48823</v>
      </c>
      <c r="C248" s="935" t="s">
        <v>975</v>
      </c>
      <c r="D248" s="950" t="s">
        <v>945</v>
      </c>
      <c r="E248" s="990">
        <v>1.0780000000000001</v>
      </c>
      <c r="F248" s="928">
        <v>10.780000000000001</v>
      </c>
      <c r="G248" s="922" t="s">
        <v>2071</v>
      </c>
      <c r="H248" s="922" t="s">
        <v>2071</v>
      </c>
      <c r="I248" s="256" t="str">
        <f t="shared" si="12"/>
        <v>IT0005240350</v>
      </c>
      <c r="J248" s="256" t="str">
        <f t="shared" si="14"/>
        <v>IT0005240350</v>
      </c>
      <c r="K248" s="314" t="str">
        <f t="shared" si="13"/>
        <v>FBTPM8</v>
      </c>
      <c r="L248" s="314" t="str">
        <f t="shared" si="15"/>
        <v>FBTPM8</v>
      </c>
      <c r="M248" s="360" t="s">
        <v>2071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957" t="s">
        <v>2036</v>
      </c>
      <c r="B249" s="927">
        <v>49157</v>
      </c>
      <c r="C249" s="920" t="s">
        <v>594</v>
      </c>
      <c r="D249" s="920" t="s">
        <v>721</v>
      </c>
      <c r="E249" s="990">
        <v>1.349</v>
      </c>
      <c r="F249" s="928">
        <v>13.49</v>
      </c>
      <c r="G249" s="922" t="s">
        <v>2071</v>
      </c>
      <c r="H249" s="922" t="s">
        <v>2071</v>
      </c>
      <c r="I249" s="256" t="str">
        <f t="shared" si="12"/>
        <v>IT0003535157</v>
      </c>
      <c r="J249" s="256" t="str">
        <f t="shared" si="14"/>
        <v>IT0003535157</v>
      </c>
      <c r="K249" s="314" t="str">
        <f t="shared" si="13"/>
        <v>FBTPM8</v>
      </c>
      <c r="L249" s="314" t="str">
        <f t="shared" si="15"/>
        <v>FBTPM8</v>
      </c>
      <c r="M249" s="360" t="s">
        <v>2071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957" t="s">
        <v>2037</v>
      </c>
      <c r="B250" s="927">
        <v>49919</v>
      </c>
      <c r="C250" s="929" t="s">
        <v>867</v>
      </c>
      <c r="D250" s="938" t="s">
        <v>868</v>
      </c>
      <c r="E250" s="990">
        <v>1.1910000000000001</v>
      </c>
      <c r="F250" s="928">
        <v>11.91</v>
      </c>
      <c r="G250" s="922" t="s">
        <v>2071</v>
      </c>
      <c r="H250" s="922" t="s">
        <v>2071</v>
      </c>
      <c r="I250" s="256" t="str">
        <f t="shared" si="12"/>
        <v>IT0005177909</v>
      </c>
      <c r="J250" s="256" t="str">
        <f t="shared" si="14"/>
        <v>IT0005177909</v>
      </c>
      <c r="K250" s="314" t="str">
        <f t="shared" si="13"/>
        <v>FBTPM8</v>
      </c>
      <c r="L250" s="314" t="str">
        <f t="shared" si="15"/>
        <v>FBTPM8</v>
      </c>
      <c r="M250" s="360" t="s">
        <v>2071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957" t="s">
        <v>2038</v>
      </c>
      <c r="B251" s="927">
        <v>50072</v>
      </c>
      <c r="C251" s="920" t="s">
        <v>303</v>
      </c>
      <c r="D251" s="920" t="s">
        <v>722</v>
      </c>
      <c r="E251" s="990">
        <v>1.3979999999999999</v>
      </c>
      <c r="F251" s="928">
        <v>13.979999999999999</v>
      </c>
      <c r="G251" s="922" t="s">
        <v>2071</v>
      </c>
      <c r="H251" s="922" t="s">
        <v>2071</v>
      </c>
      <c r="I251" s="256" t="str">
        <f t="shared" si="12"/>
        <v>IT0003934657</v>
      </c>
      <c r="J251" s="256" t="str">
        <f t="shared" si="14"/>
        <v>IT0003934657</v>
      </c>
      <c r="K251" s="314" t="str">
        <f t="shared" si="13"/>
        <v>FBTPM8</v>
      </c>
      <c r="L251" s="314" t="str">
        <f t="shared" si="15"/>
        <v>FBTPM8</v>
      </c>
      <c r="M251" s="360" t="s">
        <v>2071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957" t="s">
        <v>2039</v>
      </c>
      <c r="B252" s="927">
        <v>50649</v>
      </c>
      <c r="C252" s="929" t="s">
        <v>2040</v>
      </c>
      <c r="D252" s="920" t="s">
        <v>1704</v>
      </c>
      <c r="E252" s="990">
        <v>1.33</v>
      </c>
      <c r="F252" s="928">
        <v>13.3</v>
      </c>
      <c r="G252" s="922" t="s">
        <v>2071</v>
      </c>
      <c r="H252" s="922" t="s">
        <v>2071</v>
      </c>
      <c r="I252" s="256" t="str">
        <f t="shared" si="12"/>
        <v>IT0005321325</v>
      </c>
      <c r="J252" s="256" t="str">
        <f t="shared" si="14"/>
        <v>IT0005321325</v>
      </c>
      <c r="K252" s="314" t="str">
        <f t="shared" si="13"/>
        <v>FBTPM8</v>
      </c>
      <c r="L252" s="314" t="str">
        <f t="shared" si="15"/>
        <v>FBTPM8</v>
      </c>
      <c r="M252" s="360" t="s">
        <v>2071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957" t="s">
        <v>2041</v>
      </c>
      <c r="B253" s="927">
        <v>50983</v>
      </c>
      <c r="C253" s="920" t="s">
        <v>545</v>
      </c>
      <c r="D253" s="920" t="s">
        <v>723</v>
      </c>
      <c r="E253" s="990">
        <v>1.639</v>
      </c>
      <c r="F253" s="928">
        <v>16.39</v>
      </c>
      <c r="G253" s="922" t="s">
        <v>2071</v>
      </c>
      <c r="H253" s="922" t="s">
        <v>2071</v>
      </c>
      <c r="I253" s="256" t="str">
        <f t="shared" si="12"/>
        <v>IT0004286966</v>
      </c>
      <c r="J253" s="256" t="str">
        <f t="shared" si="14"/>
        <v>IT0004286966</v>
      </c>
      <c r="K253" s="314" t="str">
        <f t="shared" si="13"/>
        <v>FBTPM8</v>
      </c>
      <c r="L253" s="314" t="str">
        <f t="shared" si="15"/>
        <v>FBTPM8</v>
      </c>
      <c r="M253" s="360" t="s">
        <v>2071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957" t="s">
        <v>2042</v>
      </c>
      <c r="B254" s="927">
        <v>51380</v>
      </c>
      <c r="C254" s="920" t="s">
        <v>546</v>
      </c>
      <c r="D254" s="920" t="s">
        <v>724</v>
      </c>
      <c r="E254" s="990">
        <v>1.681</v>
      </c>
      <c r="F254" s="928">
        <v>16.810000000000002</v>
      </c>
      <c r="G254" s="922" t="s">
        <v>2071</v>
      </c>
      <c r="H254" s="922" t="s">
        <v>2071</v>
      </c>
      <c r="I254" s="256" t="str">
        <f t="shared" si="12"/>
        <v>IT0004532559</v>
      </c>
      <c r="J254" s="256" t="str">
        <f t="shared" si="14"/>
        <v>IT0004532559</v>
      </c>
      <c r="K254" s="314" t="str">
        <f t="shared" si="13"/>
        <v>FBTPM8</v>
      </c>
      <c r="L254" s="314" t="str">
        <f t="shared" si="15"/>
        <v>FBTPM8</v>
      </c>
      <c r="M254" s="360" t="s">
        <v>2071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957" t="s">
        <v>2043</v>
      </c>
      <c r="B255" s="927">
        <v>52841</v>
      </c>
      <c r="C255" s="920" t="s">
        <v>547</v>
      </c>
      <c r="D255" s="920" t="s">
        <v>725</v>
      </c>
      <c r="E255" s="990">
        <v>1.849</v>
      </c>
      <c r="F255" s="928">
        <v>18.489999999999998</v>
      </c>
      <c r="G255" s="922" t="s">
        <v>2071</v>
      </c>
      <c r="H255" s="922" t="s">
        <v>2071</v>
      </c>
      <c r="I255" s="256" t="str">
        <f t="shared" si="12"/>
        <v>IT0004923998</v>
      </c>
      <c r="J255" s="256" t="str">
        <f t="shared" si="14"/>
        <v>IT0004923998</v>
      </c>
      <c r="K255" s="314" t="str">
        <f t="shared" si="13"/>
        <v>FBTPM8</v>
      </c>
      <c r="L255" s="314" t="str">
        <f t="shared" si="15"/>
        <v>FBTPM8</v>
      </c>
      <c r="M255" s="360" t="s">
        <v>2071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957" t="s">
        <v>2044</v>
      </c>
      <c r="B256" s="927">
        <v>53571</v>
      </c>
      <c r="C256" s="920" t="s">
        <v>595</v>
      </c>
      <c r="D256" s="920" t="s">
        <v>596</v>
      </c>
      <c r="E256" s="990">
        <v>1.669</v>
      </c>
      <c r="F256" s="928">
        <v>16.690000000000001</v>
      </c>
      <c r="G256" s="922" t="s">
        <v>2071</v>
      </c>
      <c r="H256" s="922" t="s">
        <v>2071</v>
      </c>
      <c r="I256" s="256" t="str">
        <f t="shared" si="12"/>
        <v>IT0005083057</v>
      </c>
      <c r="J256" s="256" t="str">
        <f t="shared" si="14"/>
        <v>IT0005083057</v>
      </c>
      <c r="K256" s="314" t="str">
        <f t="shared" si="13"/>
        <v>FBTPM8</v>
      </c>
      <c r="L256" s="314" t="str">
        <f t="shared" si="15"/>
        <v>FBTPM8</v>
      </c>
      <c r="M256" s="360" t="s">
        <v>2071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957" t="s">
        <v>2045</v>
      </c>
      <c r="B257" s="927">
        <v>53752</v>
      </c>
      <c r="C257" s="929" t="s">
        <v>797</v>
      </c>
      <c r="D257" s="949" t="s">
        <v>798</v>
      </c>
      <c r="E257" s="990">
        <v>1.5680000000000001</v>
      </c>
      <c r="F257" s="928">
        <v>15.68</v>
      </c>
      <c r="G257" s="922" t="s">
        <v>2071</v>
      </c>
      <c r="H257" s="922" t="s">
        <v>2071</v>
      </c>
      <c r="I257" s="256" t="str">
        <f t="shared" si="12"/>
        <v>IT0005162828</v>
      </c>
      <c r="J257" s="256" t="str">
        <f t="shared" si="14"/>
        <v>IT0005162828</v>
      </c>
      <c r="K257" s="314" t="str">
        <f t="shared" si="13"/>
        <v>FBTPM8</v>
      </c>
      <c r="L257" s="314" t="str">
        <f t="shared" si="15"/>
        <v>FBTPM8</v>
      </c>
      <c r="M257" s="360" t="s">
        <v>2071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957" t="s">
        <v>2046</v>
      </c>
      <c r="B258" s="927">
        <v>54118</v>
      </c>
      <c r="C258" s="929" t="s">
        <v>1693</v>
      </c>
      <c r="D258" s="949" t="s">
        <v>1632</v>
      </c>
      <c r="E258" s="990">
        <v>1.72</v>
      </c>
      <c r="F258" s="928">
        <v>17.2</v>
      </c>
      <c r="G258" s="922" t="s">
        <v>2071</v>
      </c>
      <c r="H258" s="922" t="s">
        <v>2071</v>
      </c>
      <c r="I258" s="256" t="str">
        <f t="shared" si="12"/>
        <v>IT0005273013</v>
      </c>
      <c r="J258" s="256" t="str">
        <f t="shared" si="14"/>
        <v>IT0005273013</v>
      </c>
      <c r="K258" s="314" t="str">
        <f t="shared" si="13"/>
        <v>FBTPM8</v>
      </c>
      <c r="L258" s="314" t="str">
        <f t="shared" si="15"/>
        <v>FBTPM8</v>
      </c>
      <c r="M258" s="360" t="s">
        <v>2071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957" t="s">
        <v>2047</v>
      </c>
      <c r="B259" s="927">
        <v>61057</v>
      </c>
      <c r="C259" s="935" t="s">
        <v>976</v>
      </c>
      <c r="D259" s="950" t="s">
        <v>981</v>
      </c>
      <c r="E259" s="990">
        <v>1.925</v>
      </c>
      <c r="F259" s="928">
        <v>19.25</v>
      </c>
      <c r="G259" s="922" t="s">
        <v>2071</v>
      </c>
      <c r="H259" s="922" t="s">
        <v>2071</v>
      </c>
      <c r="I259" s="256" t="str">
        <f t="shared" si="12"/>
        <v>IT0005217390</v>
      </c>
      <c r="J259" s="256" t="str">
        <f t="shared" si="14"/>
        <v>IT0005217390</v>
      </c>
      <c r="K259" s="314" t="str">
        <f t="shared" si="13"/>
        <v>FBTPM8</v>
      </c>
      <c r="L259" s="314" t="str">
        <f t="shared" si="15"/>
        <v>FBTPM8</v>
      </c>
      <c r="M259" s="360" t="s">
        <v>2071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932" t="s">
        <v>2048</v>
      </c>
      <c r="B260" s="927"/>
      <c r="C260" s="920"/>
      <c r="D260" s="920" t="s">
        <v>599</v>
      </c>
      <c r="E260" s="933"/>
      <c r="F260" s="928"/>
      <c r="G260" s="920" t="s">
        <v>599</v>
      </c>
      <c r="H260" s="920" t="s">
        <v>599</v>
      </c>
      <c r="I260" s="256" t="str">
        <f t="shared" si="12"/>
        <v/>
      </c>
      <c r="J260" s="256" t="str">
        <f t="shared" si="14"/>
        <v/>
      </c>
      <c r="K260" s="314" t="str">
        <f t="shared" si="13"/>
        <v/>
      </c>
      <c r="L260" s="314" t="str">
        <f t="shared" si="15"/>
        <v/>
      </c>
      <c r="M260" s="360" t="s">
        <v>599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957" t="s">
        <v>2049</v>
      </c>
      <c r="B261" s="927">
        <v>43296</v>
      </c>
      <c r="C261" s="920" t="s">
        <v>548</v>
      </c>
      <c r="D261" s="920" t="s">
        <v>726</v>
      </c>
      <c r="E261" s="991">
        <v>0.17599999999999999</v>
      </c>
      <c r="F261" s="928">
        <v>1.7599999999999998</v>
      </c>
      <c r="G261" s="922" t="s">
        <v>1835</v>
      </c>
      <c r="H261" s="922" t="s">
        <v>1835</v>
      </c>
      <c r="I261" s="256" t="str">
        <f t="shared" si="12"/>
        <v>NL0006227316</v>
      </c>
      <c r="J261" s="256" t="str">
        <f t="shared" si="14"/>
        <v>NL0006227316</v>
      </c>
      <c r="K261" s="314" t="str">
        <f t="shared" si="13"/>
        <v>FGBSM8</v>
      </c>
      <c r="L261" s="314" t="str">
        <f t="shared" si="15"/>
        <v>FGBSM8</v>
      </c>
      <c r="M261" s="360" t="s">
        <v>1835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957" t="s">
        <v>2050</v>
      </c>
      <c r="B262" s="927">
        <v>43480</v>
      </c>
      <c r="C262" s="920" t="s">
        <v>549</v>
      </c>
      <c r="D262" s="920" t="s">
        <v>727</v>
      </c>
      <c r="E262" s="991">
        <v>0.39700000000000002</v>
      </c>
      <c r="F262" s="928">
        <v>3.97</v>
      </c>
      <c r="G262" s="922" t="s">
        <v>1835</v>
      </c>
      <c r="H262" s="922" t="s">
        <v>1835</v>
      </c>
      <c r="I262" s="256" t="str">
        <f t="shared" si="12"/>
        <v>NL0010514246</v>
      </c>
      <c r="J262" s="256" t="str">
        <f t="shared" si="14"/>
        <v>NL0010514246</v>
      </c>
      <c r="K262" s="314" t="str">
        <f t="shared" ref="K262:K277" si="16">LEFT(H262,6)</f>
        <v>FGBSM8</v>
      </c>
      <c r="L262" s="314" t="str">
        <f t="shared" si="15"/>
        <v>FGBSM8</v>
      </c>
      <c r="M262" s="360" t="s">
        <v>1835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957" t="s">
        <v>2051</v>
      </c>
      <c r="B263" s="927">
        <v>43661</v>
      </c>
      <c r="C263" s="920" t="s">
        <v>550</v>
      </c>
      <c r="D263" s="920" t="s">
        <v>728</v>
      </c>
      <c r="E263" s="991">
        <v>0.64300000000000002</v>
      </c>
      <c r="F263" s="928">
        <v>6.43</v>
      </c>
      <c r="G263" s="922" t="s">
        <v>1835</v>
      </c>
      <c r="H263" s="922" t="s">
        <v>1835</v>
      </c>
      <c r="I263" s="256" t="str">
        <f t="shared" si="12"/>
        <v>NL0009086115</v>
      </c>
      <c r="J263" s="256" t="str">
        <f t="shared" si="14"/>
        <v>NL0009086115</v>
      </c>
      <c r="K263" s="314" t="str">
        <f t="shared" si="16"/>
        <v>FGBSM8</v>
      </c>
      <c r="L263" s="314" t="str">
        <f t="shared" si="15"/>
        <v>FGBSM8</v>
      </c>
      <c r="M263" s="360" t="s">
        <v>1835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957" t="s">
        <v>2052</v>
      </c>
      <c r="B264" s="927">
        <v>43845</v>
      </c>
      <c r="C264" s="920" t="s">
        <v>551</v>
      </c>
      <c r="D264" s="920" t="s">
        <v>426</v>
      </c>
      <c r="E264" s="991">
        <v>0.83699999999999997</v>
      </c>
      <c r="F264" s="928">
        <v>8.3699999999999992</v>
      </c>
      <c r="G264" s="922" t="s">
        <v>1835</v>
      </c>
      <c r="H264" s="922" t="s">
        <v>1835</v>
      </c>
      <c r="I264" s="256" t="str">
        <f t="shared" si="12"/>
        <v>NL0010881827</v>
      </c>
      <c r="J264" s="256" t="str">
        <f t="shared" si="14"/>
        <v>NL0010881827</v>
      </c>
      <c r="K264" s="314" t="str">
        <f t="shared" si="16"/>
        <v>FGBSM8</v>
      </c>
      <c r="L264" s="314" t="str">
        <f t="shared" si="15"/>
        <v>FGBSM8</v>
      </c>
      <c r="M264" s="360" t="s">
        <v>1835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957" t="s">
        <v>2053</v>
      </c>
      <c r="B265" s="927">
        <v>44027</v>
      </c>
      <c r="C265" s="920" t="s">
        <v>552</v>
      </c>
      <c r="D265" s="920" t="s">
        <v>729</v>
      </c>
      <c r="E265" s="991">
        <v>1.1160000000000001</v>
      </c>
      <c r="F265" s="928">
        <v>11.16</v>
      </c>
      <c r="G265" s="922" t="s">
        <v>1835</v>
      </c>
      <c r="H265" s="922" t="s">
        <v>1835</v>
      </c>
      <c r="I265" s="256" t="str">
        <f t="shared" si="12"/>
        <v>NL0009348242</v>
      </c>
      <c r="J265" s="256" t="str">
        <f t="shared" si="14"/>
        <v>NL0009348242</v>
      </c>
      <c r="K265" s="314" t="str">
        <f t="shared" si="16"/>
        <v>FGBSM8</v>
      </c>
      <c r="L265" s="314" t="str">
        <f t="shared" si="15"/>
        <v>FGBSM8</v>
      </c>
      <c r="M265" s="360" t="s">
        <v>1835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957" t="s">
        <v>2054</v>
      </c>
      <c r="B266" s="927">
        <v>44392</v>
      </c>
      <c r="C266" s="920" t="s">
        <v>553</v>
      </c>
      <c r="D266" s="920" t="s">
        <v>730</v>
      </c>
      <c r="E266" s="994">
        <v>0.57999999999999996</v>
      </c>
      <c r="F266" s="928">
        <v>5.8</v>
      </c>
      <c r="G266" s="922" t="s">
        <v>1807</v>
      </c>
      <c r="H266" s="922" t="s">
        <v>1807</v>
      </c>
      <c r="I266" s="256" t="str">
        <f t="shared" ref="I266:I277" si="17">LEFT(D266,12)</f>
        <v>NL0009712470</v>
      </c>
      <c r="J266" s="256" t="str">
        <f t="shared" si="14"/>
        <v>NL0009712470</v>
      </c>
      <c r="K266" s="314" t="str">
        <f t="shared" si="16"/>
        <v>FGBMM8</v>
      </c>
      <c r="L266" s="314" t="str">
        <f t="shared" si="15"/>
        <v>FGBMM8</v>
      </c>
      <c r="M266" s="360" t="s">
        <v>1807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957" t="s">
        <v>2055</v>
      </c>
      <c r="B267" s="927">
        <v>44576</v>
      </c>
      <c r="C267" s="929" t="s">
        <v>877</v>
      </c>
      <c r="D267" s="929" t="s">
        <v>881</v>
      </c>
      <c r="E267" s="994">
        <v>0.61899999999999999</v>
      </c>
      <c r="F267" s="928">
        <v>6.1899999999999995</v>
      </c>
      <c r="G267" s="922" t="s">
        <v>1807</v>
      </c>
      <c r="H267" s="922" t="s">
        <v>1807</v>
      </c>
      <c r="I267" s="256" t="str">
        <f t="shared" si="17"/>
        <v>NL0011896857</v>
      </c>
      <c r="J267" s="256" t="str">
        <f t="shared" si="14"/>
        <v>NL0011896857</v>
      </c>
      <c r="K267" s="314" t="str">
        <f t="shared" si="16"/>
        <v>FGBMM8</v>
      </c>
      <c r="L267" s="314" t="str">
        <f t="shared" si="15"/>
        <v>FGBMM8</v>
      </c>
      <c r="M267" s="360" t="s">
        <v>1807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957" t="s">
        <v>2056</v>
      </c>
      <c r="B268" s="927">
        <v>44757</v>
      </c>
      <c r="C268" s="920" t="s">
        <v>554</v>
      </c>
      <c r="D268" s="920" t="s">
        <v>731</v>
      </c>
      <c r="E268" s="994">
        <v>0.73799999999999999</v>
      </c>
      <c r="F268" s="928">
        <v>7.38</v>
      </c>
      <c r="G268" s="922" t="s">
        <v>1807</v>
      </c>
      <c r="H268" s="922" t="s">
        <v>1807</v>
      </c>
      <c r="I268" s="256" t="str">
        <f t="shared" si="17"/>
        <v>NL0010060257</v>
      </c>
      <c r="J268" s="256" t="str">
        <f t="shared" si="14"/>
        <v>NL0010060257</v>
      </c>
      <c r="K268" s="314" t="str">
        <f t="shared" si="16"/>
        <v>FGBMM8</v>
      </c>
      <c r="L268" s="314" t="str">
        <f t="shared" si="15"/>
        <v>FGBMM8</v>
      </c>
      <c r="M268" s="360" t="s">
        <v>1807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957" t="s">
        <v>2057</v>
      </c>
      <c r="B269" s="927">
        <v>44941</v>
      </c>
      <c r="C269" s="920" t="s">
        <v>305</v>
      </c>
      <c r="D269" s="920" t="s">
        <v>732</v>
      </c>
      <c r="E269" s="993">
        <v>0.94099999999999995</v>
      </c>
      <c r="F269" s="928">
        <v>9.41</v>
      </c>
      <c r="G269" s="922" t="s">
        <v>1807</v>
      </c>
      <c r="H269" s="922" t="s">
        <v>1807</v>
      </c>
      <c r="I269" s="256" t="str">
        <f t="shared" si="17"/>
        <v>NL0000102275</v>
      </c>
      <c r="J269" s="256" t="str">
        <f t="shared" si="14"/>
        <v>NL0000102275</v>
      </c>
      <c r="K269" s="314" t="str">
        <f t="shared" si="16"/>
        <v>FGBMM8</v>
      </c>
      <c r="L269" s="314" t="str">
        <f t="shared" si="15"/>
        <v>FGBMM8</v>
      </c>
      <c r="M269" s="360" t="s">
        <v>1807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957" t="s">
        <v>2058</v>
      </c>
      <c r="B270" s="927">
        <v>44941</v>
      </c>
      <c r="C270" s="920" t="s">
        <v>304</v>
      </c>
      <c r="D270" s="920" t="s">
        <v>733</v>
      </c>
      <c r="E270" s="992">
        <v>0.85599999999999998</v>
      </c>
      <c r="F270" s="928">
        <v>8.56</v>
      </c>
      <c r="G270" s="922" t="s">
        <v>1807</v>
      </c>
      <c r="H270" s="922" t="s">
        <v>1807</v>
      </c>
      <c r="I270" s="256" t="str">
        <f t="shared" si="17"/>
        <v>NL0000102077</v>
      </c>
      <c r="J270" s="256" t="str">
        <f t="shared" si="14"/>
        <v>NL0000102077</v>
      </c>
      <c r="K270" s="314" t="str">
        <f t="shared" si="16"/>
        <v>FGBMM8</v>
      </c>
      <c r="L270" s="314" t="str">
        <f t="shared" si="15"/>
        <v>FGBMM8</v>
      </c>
      <c r="M270" s="360" t="s">
        <v>1807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957" t="s">
        <v>2059</v>
      </c>
      <c r="B271" s="927">
        <v>45122</v>
      </c>
      <c r="C271" s="920" t="s">
        <v>555</v>
      </c>
      <c r="D271" s="920" t="s">
        <v>734</v>
      </c>
      <c r="E271" s="992">
        <v>0.89</v>
      </c>
      <c r="F271" s="928">
        <v>8.9</v>
      </c>
      <c r="G271" s="922" t="s">
        <v>1807</v>
      </c>
      <c r="H271" s="922" t="s">
        <v>1807</v>
      </c>
      <c r="I271" s="256" t="str">
        <f t="shared" si="17"/>
        <v>NL0010418810</v>
      </c>
      <c r="J271" s="256" t="str">
        <f t="shared" si="14"/>
        <v>NL0010418810</v>
      </c>
      <c r="K271" s="314" t="str">
        <f t="shared" si="16"/>
        <v>FGBMM8</v>
      </c>
      <c r="L271" s="314" t="str">
        <f t="shared" si="15"/>
        <v>FGBMM8</v>
      </c>
      <c r="M271" s="360" t="s">
        <v>1807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957" t="s">
        <v>2060</v>
      </c>
      <c r="B272" s="927">
        <v>45306</v>
      </c>
      <c r="C272" s="920" t="s">
        <v>1694</v>
      </c>
      <c r="D272" s="920" t="s">
        <v>1695</v>
      </c>
      <c r="E272" s="992">
        <v>0.91300000000000003</v>
      </c>
      <c r="F272" s="928">
        <v>9.1300000000000008</v>
      </c>
      <c r="G272" s="922" t="s">
        <v>1807</v>
      </c>
      <c r="H272" s="922" t="s">
        <v>1807</v>
      </c>
      <c r="I272" s="256" t="str">
        <f t="shared" si="17"/>
        <v>NL0012650469</v>
      </c>
      <c r="J272" s="256" t="str">
        <f t="shared" si="14"/>
        <v>NL0012650469</v>
      </c>
      <c r="K272" s="314" t="str">
        <f t="shared" si="16"/>
        <v>FGBMM8</v>
      </c>
      <c r="L272" s="314" t="str">
        <f t="shared" ref="L272:L277" si="18">K272</f>
        <v>FGBMM8</v>
      </c>
      <c r="M272" s="360" t="s">
        <v>1807</v>
      </c>
    </row>
    <row r="273" spans="1:13" ht="16.5" thickBot="1">
      <c r="A273" s="957" t="s">
        <v>2061</v>
      </c>
      <c r="B273" s="927">
        <v>45488</v>
      </c>
      <c r="C273" s="920" t="s">
        <v>556</v>
      </c>
      <c r="D273" s="920" t="s">
        <v>427</v>
      </c>
      <c r="E273" s="992">
        <v>1.0580000000000001</v>
      </c>
      <c r="F273" s="928">
        <v>10.58</v>
      </c>
      <c r="G273" s="922" t="s">
        <v>1807</v>
      </c>
      <c r="H273" s="922" t="s">
        <v>1807</v>
      </c>
      <c r="I273" s="256" t="str">
        <f t="shared" si="17"/>
        <v>NL0010733424</v>
      </c>
      <c r="J273" s="256" t="str">
        <f t="shared" ref="J273:J281" si="19">I273</f>
        <v>NL0010733424</v>
      </c>
      <c r="K273" s="314" t="str">
        <f t="shared" si="16"/>
        <v>FGBMM8</v>
      </c>
      <c r="L273" s="314" t="str">
        <f t="shared" si="18"/>
        <v>FGBMM8</v>
      </c>
      <c r="M273" s="360" t="s">
        <v>1807</v>
      </c>
    </row>
    <row r="274" spans="1:13" ht="16.5" thickBot="1">
      <c r="A274" s="957" t="s">
        <v>2062</v>
      </c>
      <c r="B274" s="927">
        <v>45853</v>
      </c>
      <c r="C274" s="929" t="s">
        <v>597</v>
      </c>
      <c r="D274" s="920" t="s">
        <v>598</v>
      </c>
      <c r="E274" s="995">
        <v>0.51700000000000002</v>
      </c>
      <c r="F274" s="928">
        <v>5.17</v>
      </c>
      <c r="G274" s="922" t="s">
        <v>1827</v>
      </c>
      <c r="H274" s="922" t="s">
        <v>1827</v>
      </c>
      <c r="I274" s="256" t="str">
        <f t="shared" si="17"/>
        <v>NL0011220108</v>
      </c>
      <c r="J274" s="256" t="str">
        <f t="shared" si="19"/>
        <v>NL0011220108</v>
      </c>
      <c r="K274" s="314" t="str">
        <f t="shared" si="16"/>
        <v>FGBLM8</v>
      </c>
      <c r="L274" s="314" t="str">
        <f t="shared" si="18"/>
        <v>FGBLM8</v>
      </c>
      <c r="M274" s="360" t="s">
        <v>1827</v>
      </c>
    </row>
    <row r="275" spans="1:13" ht="16.5" thickBot="1">
      <c r="A275" s="957" t="s">
        <v>2063</v>
      </c>
      <c r="B275" s="927">
        <v>46218</v>
      </c>
      <c r="C275" s="929" t="s">
        <v>869</v>
      </c>
      <c r="D275" s="920" t="s">
        <v>870</v>
      </c>
      <c r="E275" s="995">
        <v>0.58499999999999996</v>
      </c>
      <c r="F275" s="928">
        <v>5.85</v>
      </c>
      <c r="G275" s="922" t="s">
        <v>1827</v>
      </c>
      <c r="H275" s="922" t="s">
        <v>1827</v>
      </c>
      <c r="I275" s="256" t="str">
        <f t="shared" si="17"/>
        <v>NL0011819040</v>
      </c>
      <c r="J275" s="256" t="str">
        <f t="shared" si="19"/>
        <v>NL0011819040</v>
      </c>
      <c r="K275" s="314" t="str">
        <f t="shared" si="16"/>
        <v>FGBLM8</v>
      </c>
      <c r="L275" s="314" t="str">
        <f t="shared" si="18"/>
        <v>FGBLM8</v>
      </c>
      <c r="M275" s="360" t="s">
        <v>1827</v>
      </c>
    </row>
    <row r="276" spans="1:13" ht="16.5" thickBot="1">
      <c r="A276" s="957" t="s">
        <v>2064</v>
      </c>
      <c r="B276" s="927">
        <v>46583</v>
      </c>
      <c r="C276" s="929" t="s">
        <v>929</v>
      </c>
      <c r="D276" s="930" t="s">
        <v>930</v>
      </c>
      <c r="E276" s="995">
        <v>0.65200000000000002</v>
      </c>
      <c r="F276" s="928">
        <v>6.5200000000000005</v>
      </c>
      <c r="G276" s="922" t="s">
        <v>1827</v>
      </c>
      <c r="H276" s="922" t="s">
        <v>1827</v>
      </c>
      <c r="I276" s="256" t="str">
        <f t="shared" si="17"/>
        <v>NL0012171458</v>
      </c>
      <c r="J276" s="256" t="str">
        <f t="shared" si="19"/>
        <v>NL0012171458</v>
      </c>
      <c r="K276" s="314" t="str">
        <f t="shared" si="16"/>
        <v>FGBLM8</v>
      </c>
      <c r="L276" s="314" t="str">
        <f t="shared" si="18"/>
        <v>FGBLM8</v>
      </c>
      <c r="M276" s="360" t="s">
        <v>1827</v>
      </c>
    </row>
    <row r="277" spans="1:13" ht="16.5" thickBot="1">
      <c r="A277" s="957" t="s">
        <v>2065</v>
      </c>
      <c r="B277" s="927">
        <v>46767</v>
      </c>
      <c r="C277" s="920" t="s">
        <v>306</v>
      </c>
      <c r="D277" s="920" t="s">
        <v>735</v>
      </c>
      <c r="E277" s="995">
        <v>0.86199999999999999</v>
      </c>
      <c r="F277" s="928">
        <v>8.6199999999999992</v>
      </c>
      <c r="G277" s="922" t="s">
        <v>1827</v>
      </c>
      <c r="H277" s="922" t="s">
        <v>1827</v>
      </c>
      <c r="I277" s="256" t="str">
        <f t="shared" si="17"/>
        <v>NL0000102317</v>
      </c>
      <c r="J277" s="256" t="str">
        <f t="shared" si="19"/>
        <v>NL0000102317</v>
      </c>
      <c r="K277" s="314" t="str">
        <f t="shared" si="16"/>
        <v>FGBLM8</v>
      </c>
      <c r="L277" s="314" t="str">
        <f t="shared" si="18"/>
        <v>FGBLM8</v>
      </c>
      <c r="M277" s="360" t="s">
        <v>1827</v>
      </c>
    </row>
    <row r="278" spans="1:13" ht="16.5" thickBot="1">
      <c r="A278" s="957" t="s">
        <v>2066</v>
      </c>
      <c r="B278" s="927">
        <v>48594</v>
      </c>
      <c r="C278" s="920" t="s">
        <v>557</v>
      </c>
      <c r="D278" s="920" t="s">
        <v>736</v>
      </c>
      <c r="E278" s="995">
        <v>1.097</v>
      </c>
      <c r="F278" s="928">
        <v>10.969999999999999</v>
      </c>
      <c r="G278" s="922" t="s">
        <v>1827</v>
      </c>
      <c r="H278" s="922" t="s">
        <v>1827</v>
      </c>
      <c r="I278" s="256" t="str">
        <f>LEFT(D278,12)</f>
        <v>NL0010071189</v>
      </c>
      <c r="J278" s="256" t="str">
        <f t="shared" si="19"/>
        <v>NL0010071189</v>
      </c>
      <c r="K278" s="314" t="str">
        <f>LEFT(H278,6)</f>
        <v>FGBLM8</v>
      </c>
      <c r="L278" s="314" t="str">
        <f>K278</f>
        <v>FGBLM8</v>
      </c>
      <c r="M278" s="360" t="s">
        <v>1827</v>
      </c>
    </row>
    <row r="279" spans="1:13" ht="16.5" thickBot="1">
      <c r="A279" s="957" t="s">
        <v>2067</v>
      </c>
      <c r="B279" s="927">
        <v>50055</v>
      </c>
      <c r="C279" s="920" t="s">
        <v>307</v>
      </c>
      <c r="D279" s="920" t="s">
        <v>737</v>
      </c>
      <c r="E279" s="995">
        <v>1.55</v>
      </c>
      <c r="F279" s="928">
        <v>15.5</v>
      </c>
      <c r="G279" s="922" t="s">
        <v>1827</v>
      </c>
      <c r="H279" s="922" t="s">
        <v>1827</v>
      </c>
      <c r="I279" s="256" t="str">
        <f>LEFT(D279,12)</f>
        <v>NL0000102234</v>
      </c>
      <c r="J279" s="256" t="str">
        <f t="shared" si="19"/>
        <v>NL0000102234</v>
      </c>
      <c r="K279" s="314" t="str">
        <f>LEFT(H279,6)</f>
        <v>FGBLM8</v>
      </c>
      <c r="L279" s="314" t="str">
        <f>K279</f>
        <v>FGBLM8</v>
      </c>
      <c r="M279" s="360" t="s">
        <v>1827</v>
      </c>
    </row>
    <row r="280" spans="1:13" ht="16.5" thickBot="1">
      <c r="A280" s="957" t="s">
        <v>2068</v>
      </c>
      <c r="B280" s="927">
        <v>51881</v>
      </c>
      <c r="C280" s="920" t="s">
        <v>558</v>
      </c>
      <c r="D280" s="920" t="s">
        <v>738</v>
      </c>
      <c r="E280" s="995">
        <v>1.9079999999999999</v>
      </c>
      <c r="F280" s="928">
        <v>19.079999999999998</v>
      </c>
      <c r="G280" s="922" t="s">
        <v>1827</v>
      </c>
      <c r="H280" s="922" t="s">
        <v>1827</v>
      </c>
      <c r="I280" s="256" t="str">
        <f>LEFT(D280,12)</f>
        <v>NL0009446418</v>
      </c>
      <c r="J280" s="256" t="str">
        <f t="shared" si="19"/>
        <v>NL0009446418</v>
      </c>
      <c r="K280" s="314" t="str">
        <f>LEFT(H280,6)</f>
        <v>FGBLM8</v>
      </c>
      <c r="L280" s="314" t="str">
        <f>K280</f>
        <v>FGBLM8</v>
      </c>
      <c r="M280" s="360" t="s">
        <v>1827</v>
      </c>
    </row>
    <row r="281" spans="1:13" ht="16.5" thickBot="1">
      <c r="A281" s="957" t="s">
        <v>2069</v>
      </c>
      <c r="B281" s="927">
        <v>53707</v>
      </c>
      <c r="C281" s="920" t="s">
        <v>559</v>
      </c>
      <c r="D281" s="920" t="s">
        <v>428</v>
      </c>
      <c r="E281" s="995">
        <v>2.036</v>
      </c>
      <c r="F281" s="928">
        <v>20.36</v>
      </c>
      <c r="G281" s="922" t="s">
        <v>1827</v>
      </c>
      <c r="H281" s="922" t="s">
        <v>1827</v>
      </c>
      <c r="I281" s="256" t="str">
        <f>LEFT(D281,12)</f>
        <v>NL0010721999</v>
      </c>
      <c r="J281" s="256" t="str">
        <f t="shared" si="19"/>
        <v>NL0010721999</v>
      </c>
      <c r="K281" s="314" t="str">
        <f>LEFT(H281,6)</f>
        <v>FGBLM8</v>
      </c>
      <c r="L281" s="314" t="str">
        <f>K281</f>
        <v>FGBLM8</v>
      </c>
      <c r="M281" s="360" t="s">
        <v>1827</v>
      </c>
    </row>
    <row r="282" spans="1:13" ht="16.5" thickBot="1">
      <c r="A282" s="744"/>
      <c r="B282" s="743"/>
      <c r="C282" s="741"/>
      <c r="D282" s="741"/>
      <c r="E282" s="745"/>
      <c r="F282" s="928"/>
      <c r="G282" s="742"/>
      <c r="H282" s="742"/>
      <c r="I282" s="256"/>
      <c r="J282" s="256"/>
      <c r="K282" s="314"/>
      <c r="L282" s="314"/>
      <c r="M282" s="360"/>
    </row>
    <row r="283" spans="1:13" ht="15">
      <c r="A283" s="321"/>
      <c r="B283" s="321"/>
      <c r="C283" s="321"/>
      <c r="D283" s="321"/>
      <c r="E283" s="361"/>
      <c r="F283" s="361"/>
      <c r="G283" s="321"/>
      <c r="H283" s="321"/>
      <c r="I283" s="321"/>
      <c r="J283" s="321"/>
      <c r="K283" s="321"/>
      <c r="L283" s="321"/>
      <c r="M283" s="321"/>
    </row>
    <row r="284" spans="1:13" ht="15">
      <c r="A284" s="321"/>
      <c r="B284" s="321"/>
      <c r="C284" s="321"/>
      <c r="D284" s="321"/>
      <c r="E284" s="361"/>
      <c r="F284" s="361"/>
      <c r="G284" s="321"/>
      <c r="H284" s="321"/>
      <c r="I284" s="321"/>
      <c r="J284" s="321"/>
      <c r="K284" s="321"/>
      <c r="L284" s="321"/>
      <c r="M284" s="321"/>
    </row>
    <row r="285" spans="1:13" ht="15">
      <c r="A285" s="321"/>
      <c r="B285" s="321"/>
      <c r="C285" s="321"/>
      <c r="D285" s="321"/>
      <c r="E285" s="361"/>
      <c r="F285" s="361"/>
      <c r="G285" s="321"/>
      <c r="H285" s="321"/>
      <c r="I285" s="321"/>
      <c r="J285" s="321"/>
      <c r="K285" s="321"/>
      <c r="L285" s="321"/>
      <c r="M285" s="321"/>
    </row>
    <row r="286" spans="1:13" ht="15">
      <c r="A286" s="321"/>
      <c r="B286" s="321"/>
      <c r="C286" s="321"/>
      <c r="D286" s="321"/>
      <c r="E286" s="361"/>
      <c r="F286" s="361"/>
      <c r="G286" s="321"/>
      <c r="H286" s="321"/>
      <c r="I286" s="321"/>
      <c r="J286" s="321"/>
      <c r="K286" s="321"/>
      <c r="L286" s="321"/>
      <c r="M286" s="321"/>
    </row>
    <row r="287" spans="1:13" ht="15">
      <c r="A287" s="321"/>
      <c r="B287" s="321"/>
      <c r="C287" s="321"/>
      <c r="D287" s="321"/>
      <c r="E287" s="361"/>
      <c r="F287" s="361"/>
      <c r="G287" s="321"/>
      <c r="H287" s="321"/>
      <c r="I287" s="321"/>
      <c r="J287" s="321"/>
      <c r="K287" s="321"/>
      <c r="L287" s="321"/>
      <c r="M287" s="321"/>
    </row>
    <row r="288" spans="1:13" ht="15">
      <c r="A288" s="321"/>
      <c r="B288" s="321"/>
      <c r="C288" s="321"/>
      <c r="D288" s="321"/>
      <c r="E288" s="361"/>
      <c r="F288" s="361"/>
      <c r="G288" s="321"/>
      <c r="H288" s="321"/>
      <c r="I288" s="321"/>
      <c r="J288" s="321"/>
      <c r="K288" s="321"/>
      <c r="L288" s="321"/>
      <c r="M288" s="321"/>
    </row>
    <row r="289" spans="1:13" ht="15">
      <c r="A289" s="321"/>
      <c r="B289" s="321"/>
      <c r="C289" s="321"/>
      <c r="D289" s="321"/>
      <c r="E289" s="361"/>
      <c r="F289" s="361"/>
      <c r="G289" s="321"/>
      <c r="H289" s="321"/>
      <c r="I289" s="321"/>
      <c r="J289" s="321"/>
      <c r="K289" s="321"/>
      <c r="L289" s="321"/>
      <c r="M289" s="321"/>
    </row>
    <row r="290" spans="1:13" ht="15">
      <c r="A290" s="321"/>
      <c r="B290" s="321"/>
      <c r="C290" s="321"/>
      <c r="D290" s="321"/>
      <c r="E290" s="361"/>
      <c r="F290" s="361"/>
      <c r="G290" s="321"/>
      <c r="H290" s="321"/>
      <c r="I290" s="321"/>
      <c r="J290" s="321"/>
      <c r="K290" s="321"/>
      <c r="L290" s="321"/>
      <c r="M290" s="321"/>
    </row>
    <row r="291" spans="1:13" ht="15">
      <c r="A291" s="321"/>
      <c r="B291" s="321"/>
      <c r="C291" s="321"/>
      <c r="D291" s="321"/>
      <c r="E291" s="361"/>
      <c r="F291" s="361"/>
      <c r="G291" s="321"/>
      <c r="H291" s="321"/>
      <c r="I291" s="321"/>
      <c r="J291" s="321"/>
      <c r="K291" s="321"/>
      <c r="L291" s="321"/>
      <c r="M291" s="321"/>
    </row>
    <row r="292" spans="1:13" ht="15">
      <c r="A292" s="321"/>
      <c r="B292" s="321"/>
      <c r="C292" s="321"/>
      <c r="D292" s="321"/>
      <c r="E292" s="361"/>
      <c r="F292" s="361"/>
      <c r="G292" s="321"/>
      <c r="H292" s="321"/>
      <c r="I292" s="321"/>
      <c r="J292" s="321"/>
      <c r="K292" s="321"/>
      <c r="L292" s="321"/>
      <c r="M292" s="321"/>
    </row>
    <row r="293" spans="1:13" ht="15">
      <c r="A293" s="321"/>
      <c r="B293" s="321"/>
      <c r="C293" s="321"/>
      <c r="D293" s="321"/>
      <c r="E293" s="361"/>
      <c r="F293" s="361"/>
      <c r="G293" s="321"/>
      <c r="H293" s="321"/>
      <c r="I293" s="321"/>
      <c r="J293" s="321"/>
      <c r="K293" s="321"/>
      <c r="L293" s="321"/>
      <c r="M293" s="321"/>
    </row>
    <row r="294" spans="1:13" ht="15">
      <c r="A294" s="321"/>
      <c r="B294" s="321"/>
      <c r="C294" s="321"/>
      <c r="D294" s="321"/>
      <c r="E294" s="361"/>
      <c r="F294" s="361"/>
      <c r="G294" s="321"/>
      <c r="H294" s="321"/>
      <c r="I294" s="321"/>
      <c r="J294" s="321"/>
      <c r="K294" s="321"/>
      <c r="L294" s="321"/>
      <c r="M294" s="321"/>
    </row>
    <row r="295" spans="1:13" ht="15">
      <c r="A295" s="321"/>
      <c r="B295" s="321"/>
      <c r="C295" s="321"/>
      <c r="D295" s="321"/>
      <c r="E295" s="361"/>
      <c r="F295" s="361"/>
      <c r="G295" s="321"/>
      <c r="H295" s="321"/>
      <c r="I295" s="321"/>
      <c r="J295" s="321"/>
      <c r="K295" s="321"/>
      <c r="L295" s="321"/>
      <c r="M295" s="321"/>
    </row>
    <row r="296" spans="1:13" ht="15">
      <c r="A296" s="321"/>
      <c r="B296" s="321"/>
      <c r="C296" s="321"/>
      <c r="D296" s="321"/>
      <c r="E296" s="361"/>
      <c r="F296" s="361"/>
      <c r="G296" s="321"/>
      <c r="H296" s="321"/>
      <c r="I296" s="321"/>
      <c r="J296" s="321"/>
      <c r="K296" s="321"/>
      <c r="L296" s="321"/>
      <c r="M296" s="321"/>
    </row>
    <row r="297" spans="1:13" ht="15">
      <c r="A297" s="321"/>
      <c r="B297" s="321"/>
      <c r="C297" s="321"/>
      <c r="D297" s="321"/>
      <c r="E297" s="361"/>
      <c r="F297" s="361"/>
      <c r="G297" s="321"/>
      <c r="H297" s="321"/>
      <c r="I297" s="321"/>
      <c r="J297" s="321"/>
      <c r="K297" s="321"/>
      <c r="L297" s="321"/>
      <c r="M297" s="321"/>
    </row>
    <row r="298" spans="1:13" ht="15">
      <c r="A298" s="321"/>
      <c r="B298" s="321"/>
      <c r="C298" s="321"/>
      <c r="D298" s="321"/>
      <c r="E298" s="361"/>
      <c r="F298" s="361"/>
      <c r="G298" s="321"/>
      <c r="H298" s="321"/>
      <c r="I298" s="321"/>
      <c r="J298" s="321"/>
      <c r="K298" s="321"/>
      <c r="L298" s="321"/>
      <c r="M298" s="321"/>
    </row>
    <row r="299" spans="1:13" ht="15">
      <c r="A299" s="321"/>
      <c r="B299" s="321"/>
      <c r="C299" s="321"/>
      <c r="D299" s="321"/>
      <c r="E299" s="361"/>
      <c r="F299" s="361"/>
      <c r="G299" s="321"/>
      <c r="H299" s="321"/>
      <c r="I299" s="321"/>
      <c r="J299" s="321"/>
      <c r="K299" s="321"/>
      <c r="L299" s="321"/>
      <c r="M299" s="321"/>
    </row>
    <row r="300" spans="1:13" ht="15">
      <c r="A300" s="234"/>
      <c r="B300" s="234"/>
      <c r="C300" s="234"/>
      <c r="D300" s="244"/>
      <c r="E300" s="244"/>
      <c r="F300" s="310"/>
      <c r="H300" s="234"/>
      <c r="I300" s="244"/>
    </row>
    <row r="301" spans="1:13" ht="15">
      <c r="A301" s="234"/>
      <c r="B301" s="234"/>
      <c r="C301" s="234"/>
      <c r="D301" s="244"/>
      <c r="E301" s="244"/>
      <c r="F301" s="310"/>
      <c r="H301" s="234"/>
      <c r="I301" s="244"/>
    </row>
    <row r="302" spans="1:13" ht="15">
      <c r="A302" s="234"/>
      <c r="B302" s="234"/>
      <c r="C302" s="234"/>
      <c r="D302" s="244"/>
      <c r="E302" s="244"/>
      <c r="F302" s="310"/>
      <c r="H302" s="234"/>
      <c r="I302" s="244"/>
    </row>
    <row r="303" spans="1:13" ht="15">
      <c r="A303" s="234"/>
      <c r="B303" s="234"/>
      <c r="C303" s="234"/>
      <c r="D303" s="244"/>
      <c r="E303" s="244"/>
      <c r="F303" s="310"/>
      <c r="H303" s="234"/>
      <c r="I303" s="244"/>
    </row>
    <row r="304" spans="1:13" ht="15">
      <c r="A304" s="234"/>
      <c r="B304" s="234"/>
      <c r="C304" s="234"/>
      <c r="D304" s="244"/>
      <c r="E304" s="244"/>
      <c r="F304" s="310"/>
      <c r="H304" s="234"/>
      <c r="I304" s="244"/>
    </row>
    <row r="305" spans="1:9" ht="15">
      <c r="A305" s="234"/>
      <c r="B305" s="234"/>
      <c r="C305" s="234"/>
      <c r="D305" s="244"/>
      <c r="E305" s="244"/>
      <c r="F305" s="310"/>
      <c r="H305" s="234"/>
      <c r="I305" s="244"/>
    </row>
    <row r="306" spans="1:9" ht="15">
      <c r="A306" s="234"/>
      <c r="B306" s="234"/>
      <c r="C306" s="234"/>
      <c r="D306" s="244"/>
      <c r="E306" s="244"/>
      <c r="F306" s="310"/>
      <c r="H306" s="234"/>
      <c r="I306" s="244"/>
    </row>
    <row r="307" spans="1:9" ht="15">
      <c r="A307" s="234"/>
      <c r="B307" s="234"/>
      <c r="C307" s="234"/>
      <c r="D307" s="244"/>
      <c r="E307" s="244"/>
      <c r="F307" s="310"/>
      <c r="H307" s="234"/>
      <c r="I307" s="244"/>
    </row>
    <row r="308" spans="1:9" ht="15">
      <c r="A308" s="234"/>
      <c r="B308" s="234"/>
      <c r="C308" s="234"/>
      <c r="D308" s="244"/>
      <c r="E308" s="244"/>
      <c r="F308" s="310"/>
      <c r="H308" s="234"/>
      <c r="I308" s="244"/>
    </row>
    <row r="309" spans="1:9" ht="15">
      <c r="A309" s="234"/>
      <c r="B309" s="234"/>
      <c r="C309" s="234"/>
      <c r="D309" s="244"/>
      <c r="E309" s="244"/>
      <c r="F309" s="310"/>
      <c r="H309" s="234"/>
      <c r="I309" s="244"/>
    </row>
    <row r="310" spans="1:9" ht="15">
      <c r="A310" s="234"/>
      <c r="B310" s="234"/>
      <c r="C310" s="234"/>
      <c r="D310" s="244"/>
      <c r="E310" s="244"/>
      <c r="F310" s="310"/>
      <c r="H310" s="234"/>
      <c r="I310" s="244"/>
    </row>
    <row r="311" spans="1:9" ht="15">
      <c r="A311" s="234"/>
      <c r="B311" s="234"/>
      <c r="C311" s="234"/>
      <c r="D311" s="244"/>
      <c r="E311" s="244"/>
      <c r="F311" s="310"/>
      <c r="H311" s="236"/>
      <c r="I311" s="244"/>
    </row>
    <row r="312" spans="1:9" ht="15">
      <c r="A312" s="234"/>
      <c r="B312" s="234"/>
      <c r="C312" s="234"/>
      <c r="D312" s="244"/>
      <c r="E312" s="244"/>
      <c r="F312" s="310"/>
      <c r="H312" s="236"/>
      <c r="I312" s="244"/>
    </row>
    <row r="313" spans="1:9" ht="15">
      <c r="A313" s="234"/>
      <c r="B313" s="234"/>
      <c r="C313" s="234"/>
      <c r="D313" s="244"/>
      <c r="E313" s="244"/>
      <c r="F313" s="310"/>
      <c r="H313" s="236"/>
      <c r="I313" s="244"/>
    </row>
    <row r="314" spans="1:9" ht="15">
      <c r="A314" s="234"/>
      <c r="B314" s="234"/>
      <c r="C314" s="234"/>
      <c r="D314" s="244"/>
      <c r="E314" s="244"/>
      <c r="F314" s="310"/>
      <c r="H314" s="236"/>
      <c r="I314" s="244"/>
    </row>
    <row r="315" spans="1:9" ht="15">
      <c r="A315" s="234"/>
      <c r="B315" s="234"/>
      <c r="C315" s="234"/>
      <c r="D315" s="244"/>
      <c r="E315" s="244"/>
      <c r="F315" s="310"/>
      <c r="H315" s="236"/>
      <c r="I315" s="244"/>
    </row>
    <row r="316" spans="1:9" ht="15">
      <c r="A316" s="234"/>
      <c r="B316" s="234"/>
      <c r="C316" s="234"/>
      <c r="D316" s="244"/>
      <c r="E316" s="244"/>
      <c r="F316" s="310"/>
      <c r="H316" s="236"/>
      <c r="I316" s="244"/>
    </row>
    <row r="317" spans="1:9" ht="15">
      <c r="A317" s="234"/>
      <c r="B317" s="234"/>
      <c r="C317" s="234"/>
      <c r="D317" s="244"/>
      <c r="E317" s="244"/>
      <c r="F317" s="310"/>
      <c r="H317" s="236"/>
      <c r="I317" s="244"/>
    </row>
    <row r="318" spans="1:9" ht="15">
      <c r="A318" s="234"/>
      <c r="B318" s="234"/>
      <c r="C318" s="234"/>
      <c r="D318" s="244"/>
      <c r="E318" s="244"/>
      <c r="F318" s="310"/>
      <c r="H318" s="236"/>
      <c r="I318" s="244"/>
    </row>
    <row r="319" spans="1:9" ht="15">
      <c r="A319" s="234"/>
      <c r="B319" s="234"/>
      <c r="C319" s="234"/>
      <c r="D319" s="244"/>
      <c r="E319" s="244"/>
      <c r="F319" s="310"/>
      <c r="H319" s="236"/>
      <c r="I319" s="244"/>
    </row>
    <row r="320" spans="1:9" ht="15">
      <c r="A320" s="234"/>
      <c r="B320" s="234"/>
      <c r="C320" s="234"/>
      <c r="D320" s="244"/>
      <c r="E320" s="244"/>
      <c r="F320" s="310"/>
      <c r="H320" s="236"/>
      <c r="I320" s="244"/>
    </row>
    <row r="321" spans="1:9" ht="15">
      <c r="A321" s="234"/>
      <c r="B321" s="234"/>
      <c r="C321" s="234"/>
      <c r="D321" s="244"/>
      <c r="E321" s="244"/>
      <c r="F321" s="310"/>
      <c r="H321" s="236"/>
      <c r="I321" s="244"/>
    </row>
    <row r="322" spans="1:9" ht="15">
      <c r="A322" s="234"/>
      <c r="B322" s="234"/>
      <c r="C322" s="234"/>
      <c r="D322" s="244"/>
      <c r="E322" s="244"/>
      <c r="F322" s="310"/>
      <c r="H322" s="236"/>
      <c r="I322" s="244"/>
    </row>
    <row r="323" spans="1:9" ht="15">
      <c r="A323" s="234"/>
      <c r="B323" s="234"/>
      <c r="C323" s="234"/>
      <c r="D323" s="244"/>
      <c r="E323" s="244"/>
      <c r="F323" s="310"/>
      <c r="H323" s="236"/>
      <c r="I323" s="244"/>
    </row>
    <row r="324" spans="1:9" ht="15">
      <c r="A324" s="234"/>
      <c r="B324" s="234"/>
      <c r="C324" s="234"/>
      <c r="D324" s="244"/>
      <c r="E324" s="244"/>
      <c r="F324" s="310"/>
      <c r="H324" s="236"/>
      <c r="I324" s="244"/>
    </row>
    <row r="325" spans="1:9" ht="15">
      <c r="A325" s="234"/>
      <c r="B325" s="234"/>
      <c r="C325" s="234"/>
      <c r="D325" s="244"/>
      <c r="E325" s="244"/>
      <c r="F325" s="310"/>
      <c r="H325" s="236"/>
      <c r="I325" s="244"/>
    </row>
    <row r="326" spans="1:9" ht="15">
      <c r="A326" s="234"/>
      <c r="B326" s="234"/>
      <c r="C326" s="234"/>
      <c r="D326" s="244"/>
      <c r="E326" s="244"/>
      <c r="F326" s="310"/>
      <c r="H326" s="236"/>
      <c r="I326" s="244"/>
    </row>
    <row r="327" spans="1:9" ht="15">
      <c r="A327" s="234"/>
      <c r="B327" s="234"/>
      <c r="C327" s="234"/>
      <c r="D327" s="244"/>
      <c r="E327" s="244"/>
      <c r="F327" s="310"/>
      <c r="H327" s="236"/>
      <c r="I327" s="244"/>
    </row>
    <row r="328" spans="1:9" ht="15">
      <c r="A328" s="234"/>
      <c r="B328" s="234"/>
      <c r="C328" s="234"/>
      <c r="D328" s="244"/>
      <c r="E328" s="234"/>
      <c r="F328" s="310"/>
      <c r="H328" s="236"/>
      <c r="I328" s="244"/>
    </row>
    <row r="329" spans="1:9" ht="15">
      <c r="A329" s="234"/>
      <c r="B329" s="234"/>
      <c r="C329" s="234"/>
      <c r="D329" s="244"/>
      <c r="E329" s="234"/>
      <c r="F329" s="310"/>
      <c r="H329" s="236"/>
      <c r="I329" s="244"/>
    </row>
    <row r="330" spans="1:9" ht="15">
      <c r="A330" s="234"/>
      <c r="B330" s="234"/>
      <c r="C330" s="234"/>
      <c r="D330" s="244"/>
      <c r="E330" s="234"/>
      <c r="F330" s="310"/>
      <c r="H330" s="236"/>
      <c r="I330" s="244"/>
    </row>
    <row r="331" spans="1:9" ht="15">
      <c r="A331" s="234"/>
      <c r="B331" s="234"/>
      <c r="C331" s="234"/>
      <c r="D331" s="244"/>
      <c r="E331" s="234"/>
      <c r="F331" s="310"/>
      <c r="H331" s="236"/>
      <c r="I331" s="244"/>
    </row>
    <row r="332" spans="1:9" ht="15">
      <c r="A332" s="234"/>
      <c r="B332" s="234"/>
      <c r="C332" s="234"/>
      <c r="D332" s="244"/>
      <c r="E332" s="234"/>
      <c r="F332" s="310"/>
      <c r="H332" s="236"/>
      <c r="I332" s="244"/>
    </row>
    <row r="333" spans="1:9" ht="15">
      <c r="A333" s="234"/>
      <c r="B333" s="234"/>
      <c r="C333" s="234"/>
      <c r="D333" s="244"/>
      <c r="E333" s="234"/>
      <c r="F333" s="310"/>
      <c r="H333" s="236"/>
      <c r="I333" s="244"/>
    </row>
    <row r="334" spans="1:9" ht="15">
      <c r="A334" s="234"/>
      <c r="B334" s="234"/>
      <c r="C334" s="234"/>
      <c r="D334" s="244"/>
      <c r="E334" s="234"/>
      <c r="F334" s="310"/>
      <c r="H334" s="236"/>
      <c r="I334" s="244"/>
    </row>
    <row r="335" spans="1:9" ht="15">
      <c r="A335" s="234"/>
      <c r="B335" s="234"/>
      <c r="C335" s="234"/>
      <c r="D335" s="244"/>
      <c r="E335" s="234"/>
      <c r="F335" s="310"/>
      <c r="H335" s="236"/>
      <c r="I335" s="244"/>
    </row>
    <row r="336" spans="1:9" ht="15">
      <c r="A336" s="234"/>
      <c r="B336" s="234"/>
      <c r="C336" s="234"/>
      <c r="D336" s="244"/>
      <c r="E336" s="234"/>
      <c r="F336" s="310"/>
      <c r="H336" s="236"/>
      <c r="I336" s="244"/>
    </row>
    <row r="337" spans="1:9" ht="15">
      <c r="A337" s="234"/>
      <c r="B337" s="234"/>
      <c r="C337" s="234"/>
      <c r="D337" s="244"/>
      <c r="E337" s="234"/>
      <c r="F337" s="310"/>
      <c r="H337" s="236"/>
      <c r="I337" s="244"/>
    </row>
    <row r="338" spans="1:9" ht="15">
      <c r="A338" s="234"/>
      <c r="B338" s="234"/>
      <c r="C338" s="234"/>
      <c r="D338" s="244"/>
      <c r="E338" s="234"/>
      <c r="F338" s="310"/>
      <c r="H338" s="236"/>
      <c r="I338" s="244"/>
    </row>
    <row r="339" spans="1:9" ht="15">
      <c r="A339" s="234"/>
      <c r="B339" s="234"/>
      <c r="C339" s="234"/>
      <c r="D339" s="244"/>
      <c r="E339" s="234"/>
      <c r="F339" s="310"/>
      <c r="H339" s="236"/>
      <c r="I339" s="244"/>
    </row>
    <row r="340" spans="1:9" ht="15">
      <c r="A340" s="234"/>
      <c r="B340" s="234"/>
      <c r="C340" s="234"/>
      <c r="D340" s="244"/>
      <c r="E340" s="234"/>
      <c r="F340" s="310"/>
      <c r="H340" s="236"/>
      <c r="I340" s="244"/>
    </row>
    <row r="341" spans="1:9" ht="15">
      <c r="A341" s="234"/>
      <c r="B341" s="234"/>
      <c r="C341" s="234"/>
      <c r="D341" s="244"/>
      <c r="E341" s="234"/>
      <c r="F341" s="310"/>
      <c r="H341" s="236"/>
      <c r="I341" s="244"/>
    </row>
    <row r="342" spans="1:9" ht="15">
      <c r="A342" s="234"/>
      <c r="B342" s="234"/>
      <c r="C342" s="234"/>
      <c r="D342" s="244"/>
      <c r="E342" s="234"/>
      <c r="F342" s="310"/>
      <c r="H342" s="236"/>
      <c r="I342" s="244"/>
    </row>
    <row r="343" spans="1:9" ht="15">
      <c r="A343" s="234"/>
      <c r="B343" s="234"/>
      <c r="C343" s="234"/>
      <c r="D343" s="244"/>
      <c r="E343" s="234"/>
      <c r="F343" s="310"/>
      <c r="H343" s="236"/>
      <c r="I343" s="244"/>
    </row>
    <row r="344" spans="1:9" ht="15">
      <c r="A344" s="234"/>
      <c r="B344" s="234"/>
      <c r="C344" s="234"/>
      <c r="D344" s="244"/>
      <c r="E344" s="234"/>
      <c r="F344" s="310"/>
      <c r="H344" s="236"/>
      <c r="I344" s="244"/>
    </row>
    <row r="345" spans="1:9" ht="15">
      <c r="A345" s="234"/>
      <c r="B345" s="234"/>
      <c r="C345" s="234"/>
      <c r="D345" s="244"/>
      <c r="E345" s="234"/>
      <c r="F345" s="310"/>
      <c r="H345" s="236"/>
      <c r="I345" s="244"/>
    </row>
    <row r="346" spans="1:9" ht="15">
      <c r="A346" s="234"/>
      <c r="B346" s="234"/>
      <c r="C346" s="234"/>
      <c r="D346" s="244"/>
      <c r="E346" s="234"/>
      <c r="F346" s="310"/>
      <c r="H346" s="236"/>
      <c r="I346" s="244"/>
    </row>
    <row r="347" spans="1:9" ht="15">
      <c r="A347" s="234"/>
      <c r="B347" s="234"/>
      <c r="C347" s="234"/>
      <c r="D347" s="244"/>
      <c r="E347" s="234"/>
      <c r="F347" s="310"/>
      <c r="H347" s="236"/>
      <c r="I347" s="244"/>
    </row>
    <row r="348" spans="1:9" ht="15">
      <c r="A348" s="234"/>
      <c r="B348" s="234"/>
      <c r="C348" s="234"/>
      <c r="D348" s="244"/>
      <c r="E348" s="234"/>
      <c r="F348" s="310"/>
      <c r="H348" s="236"/>
      <c r="I348" s="244"/>
    </row>
    <row r="349" spans="1:9" ht="15">
      <c r="A349" s="234"/>
      <c r="B349" s="234"/>
      <c r="C349" s="234"/>
      <c r="D349" s="244"/>
      <c r="E349" s="234"/>
      <c r="F349" s="310"/>
      <c r="H349" s="236"/>
      <c r="I349" s="244"/>
    </row>
    <row r="350" spans="1:9" ht="15">
      <c r="A350" s="234"/>
      <c r="B350" s="234"/>
      <c r="C350" s="234"/>
      <c r="D350" s="244"/>
      <c r="E350" s="234"/>
      <c r="F350" s="310"/>
      <c r="H350" s="236"/>
      <c r="I350" s="244"/>
    </row>
    <row r="351" spans="1:9" ht="15">
      <c r="A351" s="234"/>
      <c r="B351" s="234"/>
      <c r="C351" s="234"/>
      <c r="D351" s="244"/>
      <c r="E351" s="234"/>
      <c r="F351" s="310"/>
      <c r="H351" s="236"/>
      <c r="I351" s="244"/>
    </row>
    <row r="352" spans="1:9" ht="15">
      <c r="A352" s="234"/>
      <c r="B352" s="234"/>
      <c r="C352" s="234"/>
      <c r="D352" s="244"/>
      <c r="E352" s="234"/>
      <c r="F352" s="310"/>
      <c r="H352" s="236"/>
      <c r="I352" s="244"/>
    </row>
    <row r="353" spans="1:9" ht="15">
      <c r="A353" s="234"/>
      <c r="B353" s="234"/>
      <c r="C353" s="234"/>
      <c r="D353" s="244"/>
      <c r="E353" s="234"/>
      <c r="F353" s="310"/>
      <c r="H353" s="236"/>
      <c r="I353" s="244"/>
    </row>
    <row r="354" spans="1:9" ht="15">
      <c r="A354" s="234"/>
      <c r="B354" s="234"/>
      <c r="C354" s="234"/>
      <c r="D354" s="244"/>
      <c r="E354" s="234"/>
      <c r="F354" s="310"/>
      <c r="H354" s="236"/>
      <c r="I354" s="244"/>
    </row>
    <row r="355" spans="1:9" ht="15">
      <c r="A355" s="234"/>
      <c r="B355" s="234"/>
      <c r="C355" s="234"/>
      <c r="D355" s="244"/>
      <c r="E355" s="234"/>
      <c r="F355" s="310"/>
      <c r="H355" s="236"/>
      <c r="I355" s="244"/>
    </row>
    <row r="356" spans="1:9" ht="15">
      <c r="A356" s="234"/>
      <c r="B356" s="234"/>
      <c r="C356" s="234"/>
      <c r="D356" s="244"/>
      <c r="E356" s="234"/>
      <c r="F356" s="310"/>
      <c r="H356" s="236"/>
      <c r="I356" s="244"/>
    </row>
    <row r="357" spans="1:9" ht="15">
      <c r="A357" s="234"/>
      <c r="B357" s="234"/>
      <c r="C357" s="234"/>
      <c r="D357" s="244"/>
      <c r="E357" s="234"/>
      <c r="F357" s="310"/>
      <c r="H357" s="236"/>
      <c r="I357" s="244"/>
    </row>
    <row r="358" spans="1:9" ht="15">
      <c r="A358" s="234"/>
      <c r="B358" s="234"/>
      <c r="C358" s="234"/>
      <c r="D358" s="244"/>
      <c r="E358" s="234"/>
      <c r="F358" s="310"/>
      <c r="H358" s="236"/>
      <c r="I358" s="244"/>
    </row>
    <row r="359" spans="1:9" ht="15">
      <c r="A359" s="234"/>
      <c r="B359" s="234"/>
      <c r="C359" s="234"/>
      <c r="D359" s="244"/>
      <c r="E359" s="234"/>
      <c r="F359" s="310"/>
      <c r="H359" s="236"/>
      <c r="I359" s="244"/>
    </row>
    <row r="360" spans="1:9" ht="15">
      <c r="A360" s="234"/>
      <c r="B360" s="234"/>
      <c r="C360" s="234"/>
      <c r="D360" s="244"/>
      <c r="E360" s="234"/>
      <c r="F360" s="310"/>
      <c r="H360" s="236"/>
      <c r="I360" s="244"/>
    </row>
    <row r="361" spans="1:9" ht="15">
      <c r="A361" s="234"/>
      <c r="B361" s="234"/>
      <c r="C361" s="234"/>
      <c r="D361" s="244"/>
      <c r="E361" s="234"/>
      <c r="F361" s="310"/>
      <c r="H361" s="236"/>
      <c r="I361" s="244"/>
    </row>
    <row r="362" spans="1:9" ht="15">
      <c r="A362" s="234"/>
      <c r="B362" s="234"/>
      <c r="C362" s="234"/>
      <c r="D362" s="244"/>
      <c r="E362" s="234"/>
      <c r="F362" s="310"/>
      <c r="H362" s="236"/>
      <c r="I362" s="244"/>
    </row>
    <row r="363" spans="1:9" ht="15">
      <c r="A363" s="234"/>
      <c r="B363" s="234"/>
      <c r="C363" s="234"/>
      <c r="D363" s="244"/>
      <c r="E363" s="234"/>
      <c r="F363" s="310"/>
      <c r="H363" s="236"/>
      <c r="I363" s="244"/>
    </row>
    <row r="364" spans="1:9" ht="15">
      <c r="A364" s="234"/>
      <c r="B364" s="234"/>
      <c r="C364" s="234"/>
      <c r="D364" s="244"/>
      <c r="E364" s="234"/>
      <c r="F364" s="310"/>
      <c r="H364" s="236"/>
      <c r="I364" s="244"/>
    </row>
    <row r="365" spans="1:9" ht="15">
      <c r="A365" s="234"/>
      <c r="B365" s="234"/>
      <c r="C365" s="234"/>
      <c r="D365" s="244"/>
      <c r="E365" s="234"/>
      <c r="F365" s="310"/>
      <c r="H365" s="236"/>
      <c r="I365" s="244"/>
    </row>
    <row r="366" spans="1:9" ht="15">
      <c r="A366" s="234"/>
      <c r="B366" s="234"/>
      <c r="C366" s="234"/>
      <c r="D366" s="244"/>
      <c r="E366" s="234"/>
      <c r="F366" s="310"/>
      <c r="H366" s="236"/>
      <c r="I366" s="244"/>
    </row>
    <row r="367" spans="1:9" ht="15">
      <c r="A367" s="234"/>
      <c r="B367" s="234"/>
      <c r="C367" s="234"/>
      <c r="D367" s="244"/>
      <c r="E367" s="234"/>
      <c r="F367" s="310"/>
      <c r="H367" s="236"/>
      <c r="I367" s="244"/>
    </row>
    <row r="368" spans="1:9" ht="15">
      <c r="A368" s="234"/>
      <c r="B368" s="234"/>
      <c r="C368" s="234"/>
      <c r="D368" s="244"/>
      <c r="E368" s="234"/>
      <c r="F368" s="310"/>
      <c r="H368" s="236"/>
      <c r="I368" s="244"/>
    </row>
    <row r="369" spans="1:9" ht="15">
      <c r="A369" s="234"/>
      <c r="B369" s="234"/>
      <c r="C369" s="234"/>
      <c r="D369" s="244"/>
      <c r="E369" s="234"/>
      <c r="F369" s="310"/>
      <c r="H369" s="236"/>
      <c r="I369" s="244"/>
    </row>
    <row r="370" spans="1:9" ht="15">
      <c r="A370" s="234"/>
      <c r="B370" s="234"/>
      <c r="C370" s="234"/>
      <c r="D370" s="244"/>
      <c r="E370" s="234"/>
      <c r="F370" s="310"/>
      <c r="H370" s="236"/>
      <c r="I370" s="244"/>
    </row>
    <row r="371" spans="1:9" ht="15">
      <c r="A371" s="234"/>
      <c r="B371" s="234"/>
      <c r="C371" s="234"/>
      <c r="D371" s="244"/>
      <c r="E371" s="234"/>
      <c r="F371" s="310"/>
      <c r="H371" s="236"/>
      <c r="I371" s="244"/>
    </row>
    <row r="372" spans="1:9" ht="15">
      <c r="A372" s="234"/>
      <c r="B372" s="234"/>
      <c r="C372" s="234"/>
      <c r="D372" s="244"/>
      <c r="E372" s="234"/>
      <c r="F372" s="310"/>
      <c r="H372" s="236"/>
      <c r="I372" s="244"/>
    </row>
    <row r="373" spans="1:9" ht="15">
      <c r="A373" s="234"/>
      <c r="B373" s="234"/>
      <c r="C373" s="234"/>
      <c r="D373" s="244"/>
      <c r="E373" s="234"/>
      <c r="F373" s="310"/>
      <c r="H373" s="236"/>
      <c r="I373" s="244"/>
    </row>
    <row r="374" spans="1:9" ht="15">
      <c r="A374" s="234"/>
      <c r="B374" s="234"/>
      <c r="C374" s="234"/>
      <c r="D374" s="244"/>
      <c r="E374" s="234"/>
      <c r="F374" s="310"/>
      <c r="H374" s="236"/>
      <c r="I374" s="244"/>
    </row>
    <row r="375" spans="1:9" ht="15">
      <c r="A375" s="234"/>
      <c r="B375" s="234"/>
      <c r="C375" s="234"/>
      <c r="D375" s="244"/>
      <c r="E375" s="234"/>
      <c r="F375" s="310"/>
      <c r="H375" s="236"/>
      <c r="I375" s="244"/>
    </row>
    <row r="376" spans="1:9" ht="15">
      <c r="A376" s="234"/>
      <c r="B376" s="234"/>
      <c r="C376" s="234"/>
      <c r="D376" s="244"/>
      <c r="E376" s="234"/>
      <c r="F376" s="310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C43" sqref="C43"/>
    </sheetView>
  </sheetViews>
  <sheetFormatPr defaultRowHeight="12.75"/>
  <cols>
    <col min="1" max="1" width="4.140625" style="371" customWidth="1"/>
    <col min="2" max="2" width="18" style="303" customWidth="1"/>
    <col min="3" max="3" width="20.28515625" style="304" customWidth="1"/>
    <col min="4" max="4" width="9.140625" style="371"/>
    <col min="5" max="5" width="18" style="303" customWidth="1"/>
    <col min="6" max="6" width="21.42578125" style="304" customWidth="1"/>
    <col min="7" max="7" width="8.140625" style="371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22" t="s">
        <v>844</v>
      </c>
      <c r="C1" s="1022"/>
      <c r="E1" s="1022" t="s">
        <v>771</v>
      </c>
      <c r="F1" s="1022"/>
      <c r="H1" s="1022" t="s">
        <v>936</v>
      </c>
      <c r="I1" s="1022"/>
      <c r="K1" s="1022" t="s">
        <v>937</v>
      </c>
      <c r="L1" s="1022"/>
    </row>
    <row r="3" spans="2:12">
      <c r="B3" s="303" t="s">
        <v>419</v>
      </c>
      <c r="C3" s="304" t="str">
        <f>_xll.BDP(B3&amp;" Corp","security des")</f>
        <v>BTPS 0 3/4 01/15/18</v>
      </c>
      <c r="E3" s="303" t="s">
        <v>809</v>
      </c>
      <c r="F3" s="304" t="str">
        <f>_xll.BDP(E3&amp;" Corp","security des")</f>
        <v>SPGB 3.3 07/30/16</v>
      </c>
      <c r="H3" s="303" t="s">
        <v>938</v>
      </c>
      <c r="I3" s="304" t="str">
        <f>_xll.BDP(H3&amp;" Corp","security des")</f>
        <v>BKO 0 03/10/17</v>
      </c>
      <c r="J3" s="304"/>
      <c r="K3" s="303" t="s">
        <v>669</v>
      </c>
      <c r="L3" s="304" t="str">
        <f>_xll.BDP(K3&amp;" Corp","security des")</f>
        <v>BTNS 1 07/25/17</v>
      </c>
    </row>
    <row r="4" spans="2:12">
      <c r="B4" s="303" t="s">
        <v>331</v>
      </c>
      <c r="C4" s="304" t="str">
        <f>_xll.BDP(B4&amp;" Corp","security des")</f>
        <v>BTPS 4 1/2 02/01/18</v>
      </c>
      <c r="E4" s="303" t="s">
        <v>807</v>
      </c>
      <c r="F4" s="304" t="str">
        <f>_xll.BDP(E4&amp;" Corp","security des")</f>
        <v>SPGB 4 1/4 10/31/16</v>
      </c>
      <c r="H4" s="303" t="s">
        <v>939</v>
      </c>
      <c r="I4" s="304" t="str">
        <f>_xll.BDP(H4&amp;" Corp","security des")</f>
        <v>OBL 0 1/2 04/07/17</v>
      </c>
      <c r="J4" s="304"/>
      <c r="K4" s="303" t="s">
        <v>670</v>
      </c>
      <c r="L4" s="304" t="str">
        <f>_xll.BDP(K4&amp;" Corp","security des")</f>
        <v>FRTR 4 1/4 10/25/17</v>
      </c>
    </row>
    <row r="5" spans="2:12">
      <c r="B5" s="303" t="s">
        <v>822</v>
      </c>
      <c r="C5" s="304" t="str">
        <f>_xll.BDP(B5&amp;" Corp","security des")</f>
        <v>ICTZ 0 03/28/18</v>
      </c>
      <c r="E5" s="303" t="s">
        <v>825</v>
      </c>
      <c r="F5" s="304" t="str">
        <f>_xll.BDP(E5&amp;" Corp","security des")</f>
        <v>SPGB 3.8 01/31/17</v>
      </c>
      <c r="H5" s="303" t="s">
        <v>571</v>
      </c>
      <c r="I5" s="304" t="str">
        <f>_xll.BDP(H5&amp;" Corp","security des")</f>
        <v>BKO 0 06/16/17</v>
      </c>
      <c r="J5" s="304"/>
      <c r="K5" s="303" t="s">
        <v>579</v>
      </c>
      <c r="L5" s="304" t="str">
        <f>_xll.BDP(K5&amp;" Corp","security des")</f>
        <v>FRTR 0 02/25/18</v>
      </c>
    </row>
    <row r="6" spans="2:12">
      <c r="B6" s="303" t="s">
        <v>584</v>
      </c>
      <c r="C6" s="304" t="str">
        <f>_xll.BDP(B6&amp;" Corp","security des")</f>
        <v>BTPS 0 1/4 05/15/18</v>
      </c>
      <c r="E6" s="303" t="s">
        <v>811</v>
      </c>
      <c r="F6" s="304" t="str">
        <f>_xll.BDP(E6&amp;" Corp","security des")</f>
        <v>SPGB 2.1 04/30/17</v>
      </c>
      <c r="H6" s="303" t="s">
        <v>627</v>
      </c>
      <c r="I6" s="304" t="str">
        <f>_xll.BDP(H6&amp;" Corp","security des")</f>
        <v>DBR 4 1/4 07/04/17</v>
      </c>
      <c r="J6" s="304"/>
      <c r="K6" s="303" t="s">
        <v>671</v>
      </c>
      <c r="L6" s="304" t="str">
        <f>_xll.BDP(K6&amp;" Corp","security des")</f>
        <v>FRTR 4 04/25/18</v>
      </c>
    </row>
    <row r="7" spans="2:12">
      <c r="B7" s="303" t="s">
        <v>420</v>
      </c>
      <c r="C7" s="304" t="str">
        <f>_xll.BDP(B7&amp;" Corp","security des")</f>
        <v>BTPS 3 1/2 06/01/18</v>
      </c>
      <c r="E7" s="303" t="s">
        <v>816</v>
      </c>
      <c r="F7" s="304" t="str">
        <f>_xll.BDP(E7&amp;" Corp","security des")</f>
        <v>SPGB 5 1/2 07/30/17</v>
      </c>
      <c r="H7" s="303" t="s">
        <v>745</v>
      </c>
      <c r="I7" s="304" t="str">
        <f>_xll.BDP(H7&amp;" Corp","security des")</f>
        <v>BKO 0 09/15/17</v>
      </c>
      <c r="J7" s="304"/>
      <c r="K7" s="303" t="s">
        <v>672</v>
      </c>
      <c r="L7" s="304" t="str">
        <f>_xll.BDP(K7&amp;" Corp","security des")</f>
        <v>FRTR 1 05/25/18</v>
      </c>
    </row>
    <row r="8" spans="2:12">
      <c r="B8" s="303" t="s">
        <v>697</v>
      </c>
      <c r="C8" s="304" t="str">
        <f>_xll.BDP(B8&amp;" Corp","security des")</f>
        <v>BTPS 4 1/2 08/01/18</v>
      </c>
      <c r="E8" s="303" t="s">
        <v>826</v>
      </c>
      <c r="F8" s="304" t="str">
        <f>_xll.BDP(E8&amp;" Corp","security des")</f>
        <v>SPGB 4 3/4 09/30/17</v>
      </c>
      <c r="H8" s="303" t="s">
        <v>628</v>
      </c>
      <c r="I8" s="304" t="str">
        <f>_xll.BDP(H8&amp;" Corp","security des")</f>
        <v>OBL 0 1/2 10/13/17</v>
      </c>
      <c r="J8" s="304"/>
      <c r="K8" s="303" t="s">
        <v>673</v>
      </c>
      <c r="L8" s="304" t="str">
        <f>_xll.BDP(K8&amp;" Corp","security des")</f>
        <v>FRTR 4 1/4 10/25/18</v>
      </c>
    </row>
    <row r="9" spans="2:12">
      <c r="B9" s="303" t="s">
        <v>752</v>
      </c>
      <c r="C9" s="304" t="str">
        <f>_xll.BDP(B9&amp;" Corp","security des")</f>
        <v>BTPS 0.3 10/15/18</v>
      </c>
      <c r="E9" s="303" t="s">
        <v>815</v>
      </c>
      <c r="F9" s="304" t="str">
        <f>_xll.BDP(E9&amp;" Corp","security des")</f>
        <v>SPGB 0 1/2 10/31/17</v>
      </c>
      <c r="H9" s="303" t="s">
        <v>760</v>
      </c>
      <c r="I9" s="304" t="str">
        <f>_xll.BDP(H9&amp;" Corp","security des")</f>
        <v>BKO 0 12/15/17</v>
      </c>
      <c r="J9" s="304"/>
      <c r="K9" s="303" t="s">
        <v>674</v>
      </c>
      <c r="L9" s="304" t="str">
        <f>_xll.BDP(K9&amp;" Corp","security des")</f>
        <v>FRTR 1 11/25/18</v>
      </c>
    </row>
    <row r="10" spans="2:12">
      <c r="B10" s="303" t="s">
        <v>421</v>
      </c>
      <c r="C10" s="304" t="str">
        <f>_xll.BDP(B10&amp;" Corp","security des")</f>
        <v>BTPS 3 1/2 12/01/18</v>
      </c>
      <c r="E10" s="303" t="s">
        <v>827</v>
      </c>
      <c r="F10" s="304" t="str">
        <f>_xll.BDP(E10&amp;" Corp","security des")</f>
        <v>SPGB 4 1/2 01/31/18</v>
      </c>
      <c r="H10" s="303" t="s">
        <v>629</v>
      </c>
      <c r="I10" s="304" t="str">
        <f>_xll.BDP(H10&amp;" Corp","security des")</f>
        <v>DBR 4 01/04/18</v>
      </c>
      <c r="J10" s="304"/>
      <c r="K10" s="303" t="s">
        <v>675</v>
      </c>
      <c r="L10" s="304" t="str">
        <f>_xll.BDP(K10&amp;" Corp","security des")</f>
        <v>FRTR 4 1/4 04/25/19</v>
      </c>
    </row>
    <row r="11" spans="2:12">
      <c r="B11" s="303" t="s">
        <v>563</v>
      </c>
      <c r="C11" s="304" t="str">
        <f>_xll.BDP(B11&amp;" Corp","security des")</f>
        <v>BTPS 4 1/4 02/01/19</v>
      </c>
      <c r="E11" s="303" t="s">
        <v>818</v>
      </c>
      <c r="F11" s="304" t="str">
        <f>_xll.BDP(E11&amp;" Corp","security des")</f>
        <v>SPGB 0 1/4 04/30/18</v>
      </c>
      <c r="H11" s="303" t="s">
        <v>630</v>
      </c>
      <c r="I11" s="304" t="str">
        <f>_xll.BDP(H11&amp;" Corp","security des")</f>
        <v>OBL 0 1/2 02/23/18</v>
      </c>
      <c r="J11" s="304"/>
      <c r="K11" s="303" t="s">
        <v>415</v>
      </c>
      <c r="L11" s="304" t="str">
        <f>_xll.BDP(K11&amp;" Corp","security des")</f>
        <v>FRTR 1 05/25/19</v>
      </c>
    </row>
    <row r="12" spans="2:12">
      <c r="B12" s="303" t="s">
        <v>698</v>
      </c>
      <c r="C12" s="304" t="str">
        <f>_xll.BDP(B12&amp;" Corp","security des")</f>
        <v>BTPS 4 1/2 03/01/19</v>
      </c>
      <c r="E12" s="303" t="s">
        <v>803</v>
      </c>
      <c r="F12" s="304" t="str">
        <f>_xll.BDP(E12&amp;" Corp","security des")</f>
        <v>SPGB 4.1 07/30/18</v>
      </c>
      <c r="H12" s="303" t="s">
        <v>631</v>
      </c>
      <c r="I12" s="304" t="str">
        <f>_xll.BDP(H12&amp;" Corp","security des")</f>
        <v>OBL 0 1/4 04/13/18</v>
      </c>
      <c r="J12" s="304"/>
      <c r="K12" s="303" t="s">
        <v>676</v>
      </c>
      <c r="L12" s="304" t="str">
        <f>_xll.BDP(K12&amp;" Corp","security des")</f>
        <v>FRTR 3 3/4 10/25/19</v>
      </c>
    </row>
    <row r="13" spans="2:12">
      <c r="B13" s="303" t="s">
        <v>699</v>
      </c>
      <c r="C13" s="304" t="str">
        <f>_xll.BDP(B13&amp;" Corp","security des")</f>
        <v>BTPS 2 1/2 05/01/19</v>
      </c>
      <c r="E13" s="303" t="s">
        <v>810</v>
      </c>
      <c r="F13" s="304" t="str">
        <f>_xll.BDP(E13&amp;" Corp","security des")</f>
        <v>SPGB 3 3/4 10/31/18</v>
      </c>
      <c r="H13" s="303" t="s">
        <v>851</v>
      </c>
      <c r="I13" s="304" t="str">
        <f>_xll.BDP(H13&amp;" Corp","security des")</f>
        <v>BKO 0 06/15/18</v>
      </c>
      <c r="J13" s="304"/>
      <c r="K13" s="303" t="s">
        <v>940</v>
      </c>
      <c r="L13" s="304" t="str">
        <f>_xll.BDP(K13&amp;" Corp","security des")</f>
        <v>FRTR 8 1/2 10/25/19</v>
      </c>
    </row>
    <row r="14" spans="2:12">
      <c r="B14" s="303" t="s">
        <v>585</v>
      </c>
      <c r="C14" s="304" t="str">
        <f>_xll.BDP(B14&amp;" Corp","security des")</f>
        <v>BTPS 1 1/2 08/01/19</v>
      </c>
      <c r="E14" s="303" t="s">
        <v>828</v>
      </c>
      <c r="F14" s="304" t="str">
        <f>_xll.BDP(E14&amp;" Corp","security des")</f>
        <v>SPGB 0 1/4 01/31/19</v>
      </c>
      <c r="H14" s="303" t="s">
        <v>632</v>
      </c>
      <c r="I14" s="304" t="str">
        <f>_xll.BDP(H14&amp;" Corp","security des")</f>
        <v>DBR 4 1/4 07/04/18</v>
      </c>
      <c r="J14" s="370" t="s">
        <v>997</v>
      </c>
      <c r="K14" s="370" t="s">
        <v>416</v>
      </c>
      <c r="L14" s="370" t="str">
        <f>_xll.BDP(K14&amp;" Corp","security des")</f>
        <v>FRTR 0 1/2 11/25/19</v>
      </c>
    </row>
    <row r="15" spans="2:12">
      <c r="B15" s="303" t="s">
        <v>334</v>
      </c>
      <c r="C15" s="304" t="str">
        <f>_xll.BDP(B15&amp;" Corp","security des")</f>
        <v>BTPS 4 1/4 09/01/19</v>
      </c>
      <c r="E15" s="303" t="s">
        <v>812</v>
      </c>
      <c r="F15" s="304" t="str">
        <f>_xll.BDP(E15&amp;" Corp","security des")</f>
        <v>SPGB 2 3/4 04/30/19</v>
      </c>
      <c r="H15" s="303" t="s">
        <v>633</v>
      </c>
      <c r="I15" s="304" t="str">
        <f>_xll.BDP(H15&amp;" Corp","security des")</f>
        <v>OBL 1 10/12/18</v>
      </c>
      <c r="J15" s="304"/>
      <c r="K15" s="303" t="s">
        <v>677</v>
      </c>
      <c r="L15" s="304" t="str">
        <f>_xll.BDP(K15&amp;" Corp","security des")</f>
        <v>FRTR 3 1/2 04/25/20</v>
      </c>
    </row>
    <row r="16" spans="2:12">
      <c r="B16" s="303" t="s">
        <v>587</v>
      </c>
      <c r="C16" s="304" t="str">
        <f>_xll.BDP(B16&amp;" Corp","security des")</f>
        <v>BTPS 1.05 12/01/19</v>
      </c>
      <c r="E16" s="303" t="s">
        <v>829</v>
      </c>
      <c r="F16" s="304" t="str">
        <f>_xll.BDP(E16&amp;" Corp","security des")</f>
        <v>SPGB 4.6 07/30/19</v>
      </c>
      <c r="H16" s="303" t="s">
        <v>634</v>
      </c>
      <c r="I16" s="304" t="str">
        <f>_xll.BDP(H16&amp;" Corp","security des")</f>
        <v>DBR 3 3/4 01/04/19</v>
      </c>
      <c r="J16" s="304"/>
      <c r="K16" s="303" t="s">
        <v>581</v>
      </c>
      <c r="L16" s="304" t="str">
        <f>_xll.BDP(K16&amp;" Corp","security des")</f>
        <v>FRTR 0 05/25/20</v>
      </c>
    </row>
    <row r="17" spans="1:12">
      <c r="A17" s="370" t="s">
        <v>997</v>
      </c>
      <c r="B17" s="370" t="s">
        <v>700</v>
      </c>
      <c r="C17" s="370" t="str">
        <f>_xll.BDP(B17&amp;" Corp","security des")</f>
        <v>BTPS 4 1/2 02/01/20</v>
      </c>
      <c r="E17" s="303" t="s">
        <v>804</v>
      </c>
      <c r="F17" s="304" t="str">
        <f>_xll.BDP(E17&amp;" Corp","security des")</f>
        <v>SPGB 4.3 10/31/19</v>
      </c>
      <c r="H17" s="303" t="s">
        <v>406</v>
      </c>
      <c r="I17" s="304" t="str">
        <f>_xll.BDP(H17&amp;" Corp","security des")</f>
        <v>OBL 1 02/22/19</v>
      </c>
      <c r="J17" s="304"/>
      <c r="K17" s="303" t="s">
        <v>678</v>
      </c>
      <c r="L17" s="304" t="str">
        <f>_xll.BDP(K17&amp;" Corp","security des")</f>
        <v>FRTR 2 1/2 10/25/20</v>
      </c>
    </row>
    <row r="18" spans="1:12">
      <c r="B18" s="303" t="s">
        <v>701</v>
      </c>
      <c r="C18" s="304" t="str">
        <f>_xll.BDP(B18&amp;" Corp","security des")</f>
        <v>BTPS 4 1/4 03/01/20</v>
      </c>
      <c r="D18" s="370" t="s">
        <v>997</v>
      </c>
      <c r="E18" s="370" t="s">
        <v>814</v>
      </c>
      <c r="F18" s="370" t="str">
        <f>_xll.BDP(E18&amp;" Corp","security des")</f>
        <v>SPGB 1.4 01/31/20</v>
      </c>
      <c r="H18" s="303" t="s">
        <v>407</v>
      </c>
      <c r="I18" s="304" t="str">
        <f>_xll.BDP(H18&amp;" Corp","security des")</f>
        <v>OBL 0 1/2 04/12/19</v>
      </c>
      <c r="J18" s="304"/>
      <c r="K18" s="303" t="s">
        <v>679</v>
      </c>
      <c r="L18" s="304" t="str">
        <f>_xll.BDP(K18&amp;" Corp","security des")</f>
        <v>FRTR 3 3/4 04/25/21</v>
      </c>
    </row>
    <row r="19" spans="1:12">
      <c r="B19" s="303" t="s">
        <v>751</v>
      </c>
      <c r="C19" s="304" t="str">
        <f>_xll.BDP(B19&amp;" Corp","security des")</f>
        <v>BTPS 0.7 05/01/20</v>
      </c>
      <c r="E19" s="303" t="s">
        <v>805</v>
      </c>
      <c r="F19" s="304" t="str">
        <f>_xll.BDP(E19&amp;" Corp","security des")</f>
        <v>SPGB 4 04/30/20</v>
      </c>
      <c r="H19" s="303" t="s">
        <v>635</v>
      </c>
      <c r="I19" s="304" t="str">
        <f>_xll.BDP(H19&amp;" Corp","security des")</f>
        <v>DBR 3 1/2 07/04/19</v>
      </c>
      <c r="J19" s="304"/>
      <c r="K19" s="303" t="s">
        <v>680</v>
      </c>
      <c r="L19" s="304" t="str">
        <f>_xll.BDP(K19&amp;" Corp","security des")</f>
        <v>FRTR 3 1/4 10/25/21</v>
      </c>
    </row>
    <row r="20" spans="1:12">
      <c r="B20" s="303" t="s">
        <v>702</v>
      </c>
      <c r="C20" s="304" t="str">
        <f>_xll.BDP(B20&amp;" Corp","security des")</f>
        <v>BTPS 4 09/01/20</v>
      </c>
      <c r="E20" s="303" t="s">
        <v>819</v>
      </c>
      <c r="F20" s="304" t="str">
        <f>_xll.BDP(E20&amp;" Corp","security des")</f>
        <v>SPGB 1.15 07/30/20</v>
      </c>
      <c r="H20" s="303" t="s">
        <v>408</v>
      </c>
      <c r="I20" s="304" t="str">
        <f>_xll.BDP(H20&amp;" Corp","security des")</f>
        <v>OBL 0 1/4 10/11/19</v>
      </c>
      <c r="J20" s="304"/>
      <c r="K20" s="303" t="s">
        <v>941</v>
      </c>
      <c r="L20" s="304" t="str">
        <f>_xll.BDP(K20&amp;" Corp","security des")</f>
        <v>FRTR 8 1/4 04/25/22</v>
      </c>
    </row>
    <row r="21" spans="1:12">
      <c r="B21" s="303" t="s">
        <v>802</v>
      </c>
      <c r="C21" s="304" t="str">
        <f>_xll.BDP(B21&amp;" Corp","security des")</f>
        <v>BTPS 0.65 11/01/20</v>
      </c>
      <c r="E21" s="303" t="s">
        <v>830</v>
      </c>
      <c r="F21" s="304" t="str">
        <f>_xll.BDP(E21&amp;" Corp","security des")</f>
        <v>SPGB 4.85 10/31/20</v>
      </c>
      <c r="G21" s="370" t="s">
        <v>997</v>
      </c>
      <c r="H21" s="370" t="s">
        <v>636</v>
      </c>
      <c r="I21" s="370" t="str">
        <f>_xll.BDP(H21&amp;" Corp","security des")</f>
        <v>DBR 3 1/4 01/04/20</v>
      </c>
      <c r="J21" s="304" t="s">
        <v>943</v>
      </c>
      <c r="K21" s="373" t="s">
        <v>681</v>
      </c>
      <c r="L21" s="372" t="str">
        <f>_xll.BDP(K21&amp;" Corp","security des")</f>
        <v>FRTR 3 04/25/22</v>
      </c>
    </row>
    <row r="22" spans="1:12">
      <c r="B22" s="303" t="s">
        <v>703</v>
      </c>
      <c r="C22" s="304" t="str">
        <f>_xll.BDP(B22&amp;" Corp","security des")</f>
        <v>BTPS 3 3/4 03/01/21</v>
      </c>
      <c r="E22" s="303" t="s">
        <v>806</v>
      </c>
      <c r="F22" s="304" t="str">
        <f>_xll.BDP(E22&amp;" Corp","security des")</f>
        <v>SPGB 5 1/2 04/30/21</v>
      </c>
      <c r="H22" s="303" t="s">
        <v>573</v>
      </c>
      <c r="I22" s="304" t="str">
        <f>_xll.BDP(H22&amp;" Corp","security des")</f>
        <v>OBL 0 04/17/20</v>
      </c>
      <c r="J22" s="304"/>
      <c r="K22" s="303" t="s">
        <v>682</v>
      </c>
      <c r="L22" s="304" t="str">
        <f>_xll.BDP(K22&amp;" Corp","security des")</f>
        <v>FRTR 2 1/4 10/25/22</v>
      </c>
    </row>
    <row r="23" spans="1:12">
      <c r="B23" s="303" t="s">
        <v>422</v>
      </c>
      <c r="C23" s="304" t="str">
        <f>_xll.BDP(B23&amp;" Corp","security des")</f>
        <v>BTPS 3 3/4 05/01/21</v>
      </c>
      <c r="E23" s="303" t="s">
        <v>831</v>
      </c>
      <c r="F23" s="304" t="str">
        <f>_xll.BDP(E23&amp;" Corp","security des")</f>
        <v>SPGB 0 3/4 07/30/21</v>
      </c>
      <c r="H23" s="303" t="s">
        <v>637</v>
      </c>
      <c r="I23" s="304" t="str">
        <f>_xll.BDP(H23&amp;" Corp","security des")</f>
        <v>DBR 3 07/04/20</v>
      </c>
      <c r="J23" s="304"/>
      <c r="K23" s="303" t="s">
        <v>942</v>
      </c>
      <c r="L23" s="304" t="str">
        <f>_xll.BDP(K23&amp;" Corp","security des")</f>
        <v>FRTR 8 1/2 04/25/23</v>
      </c>
    </row>
    <row r="24" spans="1:12">
      <c r="B24" s="303" t="s">
        <v>823</v>
      </c>
      <c r="C24" s="304" t="str">
        <f>_xll.BDP(B24&amp;" Corp","security des")</f>
        <v>BTPS 0.45 06/01/21</v>
      </c>
      <c r="E24" s="303" t="s">
        <v>808</v>
      </c>
      <c r="F24" s="304" t="str">
        <f>_xll.BDP(E24&amp;" Corp","security des")</f>
        <v>SPGB 5.85 01/31/22</v>
      </c>
      <c r="H24" s="303" t="s">
        <v>638</v>
      </c>
      <c r="I24" s="304" t="str">
        <f>_xll.BDP(H24&amp;" Corp","security des")</f>
        <v>DBR 2 1/4 09/04/20</v>
      </c>
      <c r="J24" s="304"/>
      <c r="K24" s="303" t="s">
        <v>683</v>
      </c>
      <c r="L24" s="304" t="str">
        <f>_xll.BDP(K24&amp;" Corp","security des")</f>
        <v>FRTR 1 3/4 05/25/23</v>
      </c>
    </row>
    <row r="25" spans="1:12">
      <c r="B25" s="303" t="s">
        <v>704</v>
      </c>
      <c r="C25" s="304" t="str">
        <f>_xll.BDP(B25&amp;" Corp","security des")</f>
        <v>BTPS 3 3/4 08/01/21</v>
      </c>
      <c r="D25" s="371" t="s">
        <v>943</v>
      </c>
      <c r="E25" s="373" t="s">
        <v>948</v>
      </c>
      <c r="F25" s="372" t="str">
        <f>_xll.BDP(E25&amp;" Corp","security des")</f>
        <v>SPGB 0.4 04/30/22</v>
      </c>
      <c r="H25" s="303" t="s">
        <v>739</v>
      </c>
      <c r="I25" s="304" t="str">
        <f>_xll.BDP(H25&amp;" Corp","security des")</f>
        <v>OBL 0 1/4 10/16/20</v>
      </c>
      <c r="J25" s="304"/>
      <c r="K25" s="303" t="s">
        <v>684</v>
      </c>
      <c r="L25" s="304" t="str">
        <f>_xll.BDP(K25&amp;" Corp","security des")</f>
        <v>FRTR 4 1/4 10/25/23</v>
      </c>
    </row>
    <row r="26" spans="1:12">
      <c r="B26" s="303" t="s">
        <v>705</v>
      </c>
      <c r="C26" s="304" t="str">
        <f>_xll.BDP(B26&amp;" Corp","security des")</f>
        <v>BTPS 4 3/4 09/01/21</v>
      </c>
      <c r="E26" s="373" t="s">
        <v>1634</v>
      </c>
      <c r="F26" s="372" t="str">
        <f>_xll.BDP(E26&amp;" Corp","security des")</f>
        <v>SPGB 0.45 10/31/22</v>
      </c>
      <c r="H26" s="303" t="s">
        <v>639</v>
      </c>
      <c r="I26" s="304" t="str">
        <f>_xll.BDP(H26&amp;" Corp","security des")</f>
        <v>DBR 2 1/2 01/04/21</v>
      </c>
      <c r="K26" s="303" t="s">
        <v>685</v>
      </c>
      <c r="L26" s="304" t="str">
        <f>_xll.BDP(K26&amp;" Corp","security des")</f>
        <v>FRTR 2 1/4 05/25/24</v>
      </c>
    </row>
    <row r="27" spans="1:12">
      <c r="B27" s="303" t="s">
        <v>883</v>
      </c>
      <c r="C27" s="304" t="str">
        <f>_xll.BDP(B27&amp;" Corp","security des")</f>
        <v>BTPS 0.35 11/01/21</v>
      </c>
      <c r="E27" s="303" t="s">
        <v>832</v>
      </c>
      <c r="F27" s="304" t="str">
        <f>_xll.BDP(E27&amp;" Corp","security des")</f>
        <v>SPGB 5.4 01/31/23</v>
      </c>
      <c r="H27" s="303" t="s">
        <v>640</v>
      </c>
      <c r="I27" s="304" t="str">
        <f>_xll.BDP(H27&amp;" Corp","security des")</f>
        <v>DBR 3 1/4 07/04/21</v>
      </c>
      <c r="J27" s="304" t="s">
        <v>944</v>
      </c>
      <c r="K27" s="373" t="s">
        <v>417</v>
      </c>
      <c r="L27" s="373" t="str">
        <f>_xll.BDP(K27&amp;" Corp","security des")</f>
        <v>FRTR 1 3/4 11/25/24</v>
      </c>
    </row>
    <row r="28" spans="1:12">
      <c r="B28" s="303" t="s">
        <v>589</v>
      </c>
      <c r="C28" s="304" t="str">
        <f>_xll.BDP(B28&amp;" Corp","security des")</f>
        <v>BTPS 2.15 12/15/21</v>
      </c>
      <c r="E28" s="303" t="s">
        <v>833</v>
      </c>
      <c r="F28" s="304" t="str">
        <f>_xll.BDP(E28&amp;" Corp","security des")</f>
        <v>SPGB 4.4 10/31/23</v>
      </c>
      <c r="H28" s="303" t="s">
        <v>641</v>
      </c>
      <c r="I28" s="304" t="str">
        <f>_xll.BDP(H28&amp;" Corp","security des")</f>
        <v>DBR 2 1/4 09/04/21</v>
      </c>
      <c r="J28" s="304"/>
      <c r="K28" s="303" t="s">
        <v>583</v>
      </c>
      <c r="L28" s="304" t="str">
        <f>_xll.BDP(K28&amp;" Corp","security des")</f>
        <v>FRTR 0 1/2 05/25/25</v>
      </c>
    </row>
    <row r="29" spans="1:12">
      <c r="B29" s="303" t="s">
        <v>706</v>
      </c>
      <c r="C29" s="304" t="str">
        <f>_xll.BDP(B29&amp;" Corp","security des")</f>
        <v>BTPS 5 03/01/22</v>
      </c>
      <c r="E29" s="303" t="s">
        <v>834</v>
      </c>
      <c r="F29" s="304" t="str">
        <f>_xll.BDP(E29&amp;" Corp","security des")</f>
        <v>SPGB 4.8 01/31/24</v>
      </c>
      <c r="G29" s="371" t="s">
        <v>943</v>
      </c>
      <c r="H29" s="373" t="s">
        <v>642</v>
      </c>
      <c r="I29" s="372" t="str">
        <f>_xll.BDP(H29&amp;" Corp","security des")</f>
        <v>DBR 2 01/04/22</v>
      </c>
      <c r="J29" s="304"/>
      <c r="K29" s="303" t="s">
        <v>686</v>
      </c>
      <c r="L29" s="304" t="str">
        <f>_xll.BDP(K29&amp;" Corp","security des")</f>
        <v>FRTR 6 10/25/25</v>
      </c>
    </row>
    <row r="30" spans="1:12">
      <c r="B30" s="370" t="s">
        <v>591</v>
      </c>
      <c r="C30" s="372" t="str">
        <f>_xll.BDP(B30&amp;" Corp","security des")</f>
        <v>BTPS 1.35 04/15/22</v>
      </c>
      <c r="D30" s="371" t="s">
        <v>944</v>
      </c>
      <c r="E30" s="303" t="s">
        <v>813</v>
      </c>
      <c r="F30" s="304" t="str">
        <f>_xll.BDP(E30&amp;" Corp","security des")</f>
        <v>SPGB 3.8 04/30/24</v>
      </c>
      <c r="H30" s="303" t="s">
        <v>643</v>
      </c>
      <c r="I30" s="304" t="str">
        <f>_xll.BDP(H30&amp;" Corp","security des")</f>
        <v>DBR 1 3/4 07/04/22</v>
      </c>
      <c r="J30" s="304"/>
      <c r="K30" s="303" t="s">
        <v>765</v>
      </c>
      <c r="L30" s="304" t="str">
        <f>_xll.BDP(K30&amp;" Corp","security des")</f>
        <v>FRTR 1 11/25/25</v>
      </c>
    </row>
    <row r="31" spans="1:12">
      <c r="B31" s="303" t="s">
        <v>707</v>
      </c>
      <c r="C31" s="304" t="str">
        <f>_xll.BDP(B31&amp;" Corp","security des")</f>
        <v>BTPS 5 1/2 09/01/22</v>
      </c>
      <c r="E31" s="373" t="s">
        <v>835</v>
      </c>
      <c r="F31" s="372" t="str">
        <f>_xll.BDP(E31&amp;" Corp","security des")</f>
        <v>SPGB 2 3/4 10/31/24</v>
      </c>
      <c r="H31" s="303" t="s">
        <v>644</v>
      </c>
      <c r="I31" s="304" t="str">
        <f>_xll.BDP(H31&amp;" Corp","security des")</f>
        <v>DBR 1 1/2 09/04/22</v>
      </c>
      <c r="J31" s="304"/>
      <c r="K31" s="303" t="s">
        <v>687</v>
      </c>
      <c r="L31" s="304" t="str">
        <f>_xll.BDP(K31&amp;" Corp","security des")</f>
        <v>FRTR 3 1/2 04/25/26</v>
      </c>
    </row>
    <row r="32" spans="1:12">
      <c r="A32" s="370" t="s">
        <v>943</v>
      </c>
      <c r="B32" s="303" t="s">
        <v>820</v>
      </c>
      <c r="C32" s="304" t="str">
        <f>_xll.BDP(B32&amp;" Corp","security des")</f>
        <v>BTPS 1.45 09/15/22</v>
      </c>
      <c r="E32" s="303" t="s">
        <v>772</v>
      </c>
      <c r="F32" s="304" t="str">
        <f>_xll.BDP(E32&amp;" Corp","security des")</f>
        <v>SPGB 1.6 04/30/25</v>
      </c>
      <c r="H32" s="303" t="s">
        <v>645</v>
      </c>
      <c r="I32" s="304" t="str">
        <f>_xll.BDP(H32&amp;" Corp","security des")</f>
        <v>DBR 1 1/2 02/15/23</v>
      </c>
      <c r="J32" s="304"/>
      <c r="K32" s="303" t="s">
        <v>858</v>
      </c>
      <c r="L32" s="304" t="str">
        <f>_xll.BDP(K32&amp;" Corp","security des")</f>
        <v>FRTR 0 1/2 05/25/26</v>
      </c>
    </row>
    <row r="33" spans="1:12">
      <c r="B33" s="303" t="s">
        <v>708</v>
      </c>
      <c r="C33" s="304" t="str">
        <f>_xll.BDP(B33&amp;" Corp","security des")</f>
        <v>BTPS 5 1/2 11/01/22</v>
      </c>
      <c r="E33" s="303" t="s">
        <v>773</v>
      </c>
      <c r="F33" s="304" t="str">
        <f>_xll.BDP(E33&amp;" Corp","security des")</f>
        <v>SPGB 4.65 07/30/25</v>
      </c>
      <c r="H33" s="303" t="s">
        <v>646</v>
      </c>
      <c r="I33" s="304" t="str">
        <f>_xll.BDP(H33&amp;" Corp","security des")</f>
        <v>DBR 1 1/2 05/15/23</v>
      </c>
      <c r="J33" s="304" t="s">
        <v>934</v>
      </c>
      <c r="K33" s="373" t="s">
        <v>935</v>
      </c>
      <c r="L33" s="372" t="str">
        <f>_xll.BDP(K33&amp;" Corp","security des")</f>
        <v>FRTR 1 05/25/27</v>
      </c>
    </row>
    <row r="34" spans="1:12">
      <c r="B34" s="303" t="s">
        <v>1739</v>
      </c>
      <c r="C34" s="304" t="str">
        <f>_xll.BDP(B34&amp;" Corp","security des")</f>
        <v>BTPS 0.95 03/01/23</v>
      </c>
      <c r="E34" s="303" t="s">
        <v>774</v>
      </c>
      <c r="F34" s="304" t="str">
        <f>_xll.BDP(E34&amp;" Corp","security des")</f>
        <v>SPGB 2.15 10/31/25</v>
      </c>
      <c r="H34" s="303" t="s">
        <v>647</v>
      </c>
      <c r="I34" s="304" t="str">
        <f>_xll.BDP(H34&amp;" Corp","security des")</f>
        <v>DBR 2 08/15/23</v>
      </c>
      <c r="J34" s="304"/>
      <c r="K34" s="303" t="s">
        <v>893</v>
      </c>
      <c r="L34" s="304" t="str">
        <f>_xll.BDP(K34&amp;" Corp","security des")</f>
        <v>FRTR 0 1/4 11/25/26</v>
      </c>
    </row>
    <row r="35" spans="1:12">
      <c r="B35" s="303" t="s">
        <v>821</v>
      </c>
      <c r="C35" s="304" t="str">
        <f>_xll.BDP(B35&amp;" Corp","security des")</f>
        <v>BTPS 0.95 03/15/23</v>
      </c>
      <c r="E35" s="303" t="s">
        <v>799</v>
      </c>
      <c r="F35" s="304" t="str">
        <f>_xll.BDP(E35&amp;" Corp","security des")</f>
        <v>SPGB 1.95 04/30/26</v>
      </c>
      <c r="H35" s="303" t="s">
        <v>648</v>
      </c>
      <c r="I35" s="304" t="str">
        <f>_xll.BDP(H35&amp;" Corp","security des")</f>
        <v>DBR 6 1/4 01/04/24</v>
      </c>
      <c r="J35" s="304"/>
      <c r="K35" s="303" t="s">
        <v>688</v>
      </c>
      <c r="L35" s="304" t="str">
        <f>_xll.BDP(K35&amp;" Corp","security des")</f>
        <v>FRTR 2 3/4 10/25/27</v>
      </c>
    </row>
    <row r="36" spans="1:12">
      <c r="B36" s="303" t="s">
        <v>709</v>
      </c>
      <c r="C36" s="304" t="str">
        <f>_xll.BDP(B36&amp;" Corp","security des")</f>
        <v>BTPS 4 1/2 05/01/23</v>
      </c>
      <c r="E36" s="303" t="s">
        <v>775</v>
      </c>
      <c r="F36" s="304" t="str">
        <f>_xll.BDP(E36&amp;" Corp","security des")</f>
        <v>SPGB 5.9 07/30/26</v>
      </c>
      <c r="H36" s="303" t="s">
        <v>409</v>
      </c>
      <c r="I36" s="303" t="str">
        <f>_xll.BDP(H36&amp;" Corp","security des")</f>
        <v>DBR 1 3/4 02/15/24</v>
      </c>
      <c r="J36" s="304"/>
      <c r="K36" s="303" t="s">
        <v>689</v>
      </c>
      <c r="L36" s="304" t="str">
        <f>_xll.BDP(K36&amp;" Corp","security des")</f>
        <v>FRTR 5 1/2 04/25/29</v>
      </c>
    </row>
    <row r="37" spans="1:12">
      <c r="B37" s="303" t="s">
        <v>710</v>
      </c>
      <c r="C37" s="304" t="str">
        <f>_xll.BDP(B37&amp;" Corp","security des")</f>
        <v>BTPS 4 3/4 08/01/23</v>
      </c>
      <c r="D37" s="371" t="s">
        <v>934</v>
      </c>
      <c r="E37" s="303" t="s">
        <v>871</v>
      </c>
      <c r="F37" s="304" t="str">
        <f>_xll.BDP(E37&amp;" Corp","security des")</f>
        <v>SPGB 1.3 10/31/26</v>
      </c>
      <c r="H37" s="303" t="s">
        <v>410</v>
      </c>
      <c r="I37" s="303" t="str">
        <f>_xll.BDP(H37&amp;" Corp","security des")</f>
        <v>DBR 1 1/2 05/15/24</v>
      </c>
      <c r="J37" s="304"/>
      <c r="K37" s="303" t="s">
        <v>418</v>
      </c>
      <c r="L37" s="304" t="str">
        <f>_xll.BDP(K37&amp;" Corp","security des")</f>
        <v>FRTR 2 1/2 05/25/30</v>
      </c>
    </row>
    <row r="38" spans="1:12">
      <c r="B38" s="303" t="s">
        <v>882</v>
      </c>
      <c r="C38" s="304" t="str">
        <f>_xll.BDP(B38&amp;" Corp","security des")</f>
        <v>BTPS 0.65 10/15/23</v>
      </c>
      <c r="E38" s="373" t="s">
        <v>931</v>
      </c>
      <c r="F38" s="372" t="str">
        <f>_xll.BDP(E38&amp;" Corp","security des")</f>
        <v>SPGB 1 1/2 04/30/27</v>
      </c>
      <c r="G38" s="371" t="s">
        <v>944</v>
      </c>
      <c r="H38" s="372" t="s">
        <v>411</v>
      </c>
      <c r="I38" s="372" t="str">
        <f>_xll.BDP(H38&amp;" Corp","security des")</f>
        <v>DBR 1 08/15/24</v>
      </c>
      <c r="J38" s="304"/>
      <c r="K38" s="303" t="s">
        <v>767</v>
      </c>
      <c r="L38" s="304" t="str">
        <f>_xll.BDP(K38&amp;" Corp","security des")</f>
        <v>FRTR 1 1/2 05/25/31</v>
      </c>
    </row>
    <row r="39" spans="1:12">
      <c r="B39" s="303" t="s">
        <v>711</v>
      </c>
      <c r="C39" s="304" t="str">
        <f>_xll.BDP(B39&amp;" Corp","security des")</f>
        <v>BTPS 9 11/01/23</v>
      </c>
      <c r="E39" s="373" t="s">
        <v>995</v>
      </c>
      <c r="F39" s="372" t="str">
        <f>_xll.BDP(E39&amp;" Corp","security des")</f>
        <v>SPGB 1.45 10/31/27</v>
      </c>
      <c r="H39" s="303" t="s">
        <v>576</v>
      </c>
      <c r="I39" s="304" t="str">
        <f>_xll.BDP(H39&amp;" Corp","security des")</f>
        <v>DBR 0 1/2 02/15/25</v>
      </c>
      <c r="J39" s="304" t="s">
        <v>946</v>
      </c>
      <c r="K39" s="373" t="s">
        <v>690</v>
      </c>
      <c r="L39" s="372" t="str">
        <f>_xll.BDP(K39&amp;" Corp","security des")</f>
        <v>FRTR 5 3/4 10/25/32</v>
      </c>
    </row>
    <row r="40" spans="1:12">
      <c r="B40" s="303" t="s">
        <v>712</v>
      </c>
      <c r="C40" s="304" t="str">
        <f>_xll.BDP(B40&amp;" Corp","security des")</f>
        <v>BTPS 4 1/2 03/01/24</v>
      </c>
      <c r="E40" s="303" t="s">
        <v>836</v>
      </c>
      <c r="F40" s="304" t="str">
        <f>_xll.BDP(E40&amp;" Corp","security des")</f>
        <v>SPGB 5.15 10/31/28</v>
      </c>
      <c r="H40" s="303" t="s">
        <v>741</v>
      </c>
      <c r="I40" s="304" t="str">
        <f>_xll.BDP(H40&amp;" Corp","security des")</f>
        <v>DBR 1 08/15/25</v>
      </c>
      <c r="J40" s="304"/>
      <c r="K40" s="303" t="s">
        <v>691</v>
      </c>
      <c r="L40" s="304" t="str">
        <f>_xll.BDP(K40&amp;" Corp","security des")</f>
        <v>FRTR 4 3/4 04/25/35</v>
      </c>
    </row>
    <row r="41" spans="1:12">
      <c r="A41" s="370" t="s">
        <v>944</v>
      </c>
      <c r="B41" s="303" t="s">
        <v>932</v>
      </c>
      <c r="C41" s="304" t="str">
        <f>_xll.BDP(B41&amp;" Corp","security des")</f>
        <v>BTPS 1.85 05/15/24</v>
      </c>
      <c r="E41" s="303" t="s">
        <v>837</v>
      </c>
      <c r="F41" s="304" t="str">
        <f>_xll.BDP(E41&amp;" Corp","security des")</f>
        <v>SPGB 6 01/31/29</v>
      </c>
      <c r="H41" s="303" t="s">
        <v>794</v>
      </c>
      <c r="I41" s="304" t="str">
        <f>_xll.BDP(H41&amp;" Corp","security des")</f>
        <v>DBR 0 1/2 02/15/26</v>
      </c>
      <c r="J41" s="304"/>
      <c r="K41" s="303" t="s">
        <v>860</v>
      </c>
      <c r="L41" s="304" t="str">
        <f>_xll.BDP(K41&amp;" Corp","security des")</f>
        <v>FRTR 1 1/4 05/25/36</v>
      </c>
    </row>
    <row r="42" spans="1:12">
      <c r="B42" s="373" t="s">
        <v>423</v>
      </c>
      <c r="C42" s="372" t="str">
        <f>_xll.BDP(B42&amp;" Corp","security des")</f>
        <v>BTPS 3 3/4 09/01/24</v>
      </c>
      <c r="D42" s="371" t="s">
        <v>946</v>
      </c>
      <c r="E42" s="303" t="s">
        <v>817</v>
      </c>
      <c r="F42" s="304" t="str">
        <f>_xll.BDP(E42&amp;" Corp","security des")</f>
        <v>SPGB 1.95 07/30/30</v>
      </c>
      <c r="G42" s="371" t="s">
        <v>934</v>
      </c>
      <c r="H42" s="373" t="s">
        <v>649</v>
      </c>
      <c r="I42" s="372" t="str">
        <f>_xll.BDP(H42&amp;" Corp","security des")</f>
        <v>DBR 6 1/2 07/04/27</v>
      </c>
      <c r="J42" s="304"/>
      <c r="K42" s="303" t="s">
        <v>692</v>
      </c>
      <c r="L42" s="304" t="str">
        <f>_xll.BDP(K42&amp;" Corp","security des")</f>
        <v>FRTR 4 10/25/38</v>
      </c>
    </row>
    <row r="43" spans="1:12">
      <c r="B43" s="373" t="s">
        <v>994</v>
      </c>
      <c r="C43" s="372" t="str">
        <f>_xll.BDP(B43&amp;" Corp","security des")</f>
        <v>BTPS 1.45 11/15/24</v>
      </c>
      <c r="E43" s="303" t="s">
        <v>838</v>
      </c>
      <c r="F43" s="304" t="str">
        <f>_xll.BDP(E43&amp;" Corp","security des")</f>
        <v>SPGB 5 3/4 07/30/32</v>
      </c>
      <c r="H43" s="303" t="s">
        <v>650</v>
      </c>
      <c r="I43" s="304" t="str">
        <f>_xll.BDP(H43&amp;" Corp","security des")</f>
        <v>DBR 5 5/8 01/04/28</v>
      </c>
      <c r="J43" s="304"/>
      <c r="K43" s="303" t="s">
        <v>693</v>
      </c>
      <c r="L43" s="304" t="str">
        <f>_xll.BDP(K43&amp;" Corp","security des")</f>
        <v>FRTR 4 1/2 04/25/41</v>
      </c>
    </row>
    <row r="44" spans="1:12">
      <c r="B44" s="303" t="s">
        <v>424</v>
      </c>
      <c r="C44" s="304" t="str">
        <f>_xll.BDP(B44&amp;" Corp","security des")</f>
        <v>BTPS 2 1/2 12/01/24</v>
      </c>
      <c r="E44" s="373" t="s">
        <v>949</v>
      </c>
      <c r="F44" s="372" t="str">
        <f>_xll.BDP(E44&amp;" Corp","security des")</f>
        <v>SPGB 2.35 07/30/33</v>
      </c>
      <c r="H44" s="303" t="s">
        <v>651</v>
      </c>
      <c r="I44" s="304" t="str">
        <f>_xll.BDP(H44&amp;" Corp","security des")</f>
        <v>DBR 4 3/4 07/04/28</v>
      </c>
      <c r="J44" s="304" t="s">
        <v>947</v>
      </c>
      <c r="K44" s="373" t="s">
        <v>694</v>
      </c>
      <c r="L44" s="372" t="str">
        <f>_xll.BDP(K44&amp;" Corp","security des")</f>
        <v>FRTR 3 1/4 05/25/45</v>
      </c>
    </row>
    <row r="45" spans="1:12">
      <c r="B45" s="303" t="s">
        <v>713</v>
      </c>
      <c r="C45" s="304" t="str">
        <f>_xll.BDP(B45&amp;" Corp","security des")</f>
        <v>BTPS 5 03/01/25</v>
      </c>
      <c r="E45" s="303" t="s">
        <v>839</v>
      </c>
      <c r="F45" s="304" t="str">
        <f>_xll.BDP(E45&amp;" Corp","security des")</f>
        <v>SPGB 4.2 01/31/37</v>
      </c>
      <c r="H45" s="303" t="s">
        <v>652</v>
      </c>
      <c r="I45" s="304" t="str">
        <f>_xll.BDP(H45&amp;" Corp","security des")</f>
        <v>DBR 6 1/4 01/04/30</v>
      </c>
      <c r="J45" s="304"/>
      <c r="K45" s="303" t="s">
        <v>695</v>
      </c>
      <c r="L45" s="304" t="str">
        <f>_xll.BDP(K45&amp;" Corp","security des")</f>
        <v>FRTR 4 04/25/55</v>
      </c>
    </row>
    <row r="46" spans="1:12">
      <c r="B46" s="303" t="s">
        <v>2073</v>
      </c>
      <c r="C46" s="304" t="str">
        <f>_xll.BDP(B46&amp;" Corp","security des")</f>
        <v>BTPS 1.45 05/15/25</v>
      </c>
      <c r="E46" s="303" t="s">
        <v>840</v>
      </c>
      <c r="F46" s="304" t="str">
        <f>_xll.BDP(E46&amp;" Corp","security des")</f>
        <v>SPGB 4.9 07/30/40</v>
      </c>
      <c r="H46" s="303" t="s">
        <v>653</v>
      </c>
      <c r="I46" s="304" t="str">
        <f>_xll.BDP(H46&amp;" Corp","security des")</f>
        <v>DBR 5 1/2 01/04/31</v>
      </c>
      <c r="J46" s="304"/>
      <c r="K46" s="303" t="s">
        <v>696</v>
      </c>
      <c r="L46" s="304" t="str">
        <f>_xll.BDP(K46&amp;" Corp","security des")</f>
        <v>FRTR 4 04/25/60</v>
      </c>
    </row>
    <row r="47" spans="1:12">
      <c r="B47" s="303" t="s">
        <v>593</v>
      </c>
      <c r="C47" s="304" t="str">
        <f>_xll.BDP(B47&amp;" Corp","security des")</f>
        <v>BTPS 1 1/2 06/01/25</v>
      </c>
      <c r="D47" s="371" t="s">
        <v>947</v>
      </c>
      <c r="E47" s="303" t="s">
        <v>841</v>
      </c>
      <c r="F47" s="304" t="str">
        <f>_xll.BDP(E47&amp;" Corp","security des")</f>
        <v>SPGB 4.7 07/30/41</v>
      </c>
      <c r="G47" s="371" t="s">
        <v>946</v>
      </c>
      <c r="H47" s="373" t="s">
        <v>654</v>
      </c>
      <c r="I47" s="372" t="str">
        <f>_xll.BDP(H47&amp;" Corp","security des")</f>
        <v>DBR 4 3/4 07/04/34</v>
      </c>
      <c r="J47" s="304"/>
      <c r="K47" s="303" t="s">
        <v>862</v>
      </c>
      <c r="L47" s="304" t="str">
        <f>_xll.BDP(K47&amp;" Corp","security des")</f>
        <v>FRTR 1 3/4 05/25/66</v>
      </c>
    </row>
    <row r="48" spans="1:12">
      <c r="B48" s="303" t="s">
        <v>749</v>
      </c>
      <c r="C48" s="304" t="str">
        <f>_xll.BDP(B48&amp;" Corp","security des")</f>
        <v>BTPS 2 12/01/25</v>
      </c>
      <c r="E48" s="303" t="s">
        <v>842</v>
      </c>
      <c r="F48" s="304" t="str">
        <f>_xll.BDP(E48&amp;" Corp","security des")</f>
        <v>SPGB 5.15 10/31/44</v>
      </c>
      <c r="H48" s="303" t="s">
        <v>655</v>
      </c>
      <c r="I48" s="304" t="str">
        <f>_xll.BDP(H48&amp;" Corp","security des")</f>
        <v>DBR 4 01/04/37</v>
      </c>
      <c r="J48" s="304"/>
    </row>
    <row r="49" spans="1:10">
      <c r="B49" s="303" t="s">
        <v>714</v>
      </c>
      <c r="C49" s="304" t="str">
        <f>_xll.BDP(B49&amp;" Corp","security des")</f>
        <v>BTPS 4 1/2 03/01/26</v>
      </c>
      <c r="E49" s="373" t="s">
        <v>843</v>
      </c>
      <c r="F49" s="372" t="str">
        <f>_xll.BDP(E49&amp;" Corp","security des")</f>
        <v>SPGB 2.9 10/31/46</v>
      </c>
      <c r="H49" s="303" t="s">
        <v>656</v>
      </c>
      <c r="I49" s="304" t="str">
        <f>_xll.BDP(H49&amp;" Corp","security des")</f>
        <v>DBR 4 1/4 07/04/39</v>
      </c>
      <c r="J49" s="304"/>
    </row>
    <row r="50" spans="1:10">
      <c r="A50" s="370" t="s">
        <v>934</v>
      </c>
      <c r="B50" s="303" t="s">
        <v>800</v>
      </c>
      <c r="C50" s="304" t="str">
        <f>_xll.BDP(B50&amp;" Corp","security des")</f>
        <v>BTPS 1.6 06/01/26</v>
      </c>
      <c r="H50" s="303" t="s">
        <v>657</v>
      </c>
      <c r="I50" s="304" t="str">
        <f>_xll.BDP(H50&amp;" Corp","security des")</f>
        <v>DBR 4 3/4 07/04/40</v>
      </c>
      <c r="J50" s="304"/>
    </row>
    <row r="51" spans="1:10">
      <c r="B51" s="303" t="s">
        <v>715</v>
      </c>
      <c r="C51" s="304" t="str">
        <f>_xll.BDP(B51&amp;" Corp","security des")</f>
        <v>BTPS 7 1/4 11/01/26</v>
      </c>
      <c r="H51" s="303" t="s">
        <v>658</v>
      </c>
      <c r="I51" s="304" t="str">
        <f>_xll.BDP(H51&amp;" Corp","security des")</f>
        <v>DBR 3 1/4 07/04/42</v>
      </c>
      <c r="J51" s="304"/>
    </row>
    <row r="52" spans="1:10">
      <c r="B52" s="303" t="s">
        <v>872</v>
      </c>
      <c r="C52" s="304" t="str">
        <f>_xll.BDP(B52&amp;" Corp","security des")</f>
        <v>BTPS 1 1/4 12/01/26</v>
      </c>
      <c r="H52" s="303" t="s">
        <v>659</v>
      </c>
      <c r="I52" s="304" t="str">
        <f>_xll.BDP(H52&amp;" Corp","security des")</f>
        <v>DBR 2 1/2 07/04/44</v>
      </c>
      <c r="J52" s="304"/>
    </row>
    <row r="53" spans="1:10">
      <c r="B53" s="373" t="s">
        <v>900</v>
      </c>
      <c r="C53" s="372" t="str">
        <f>_xll.BDP(B53&amp;" Corp","security des")</f>
        <v>BTPS 2.2 06/01/27</v>
      </c>
      <c r="G53" s="371" t="s">
        <v>947</v>
      </c>
      <c r="H53" s="373" t="s">
        <v>412</v>
      </c>
      <c r="I53" s="372" t="str">
        <f>_xll.BDP(H53&amp;" Corp","security des")</f>
        <v>DBR 2 1/2 08/15/46</v>
      </c>
      <c r="J53" s="304"/>
    </row>
    <row r="54" spans="1:10">
      <c r="B54" s="373" t="s">
        <v>982</v>
      </c>
      <c r="C54" s="372" t="str">
        <f>_xll.BDP(B54&amp;" Corp","security des")</f>
        <v>BTPS 2.05 08/01/27</v>
      </c>
      <c r="H54" s="303"/>
      <c r="I54" s="304"/>
      <c r="J54" s="304"/>
    </row>
    <row r="55" spans="1:10">
      <c r="B55" s="303" t="s">
        <v>716</v>
      </c>
      <c r="C55" s="304" t="str">
        <f>_xll.BDP(B55&amp;" Corp","security des")</f>
        <v>BTPS 6 1/2 11/01/27</v>
      </c>
    </row>
    <row r="56" spans="1:10">
      <c r="B56" s="753" t="s">
        <v>1713</v>
      </c>
      <c r="C56" s="754" t="str">
        <f>_xll.BDP(B56&amp;" Corp","security des")</f>
        <v>BTPS 2 02/01/28</v>
      </c>
    </row>
    <row r="57" spans="1:10">
      <c r="B57" s="303" t="s">
        <v>717</v>
      </c>
      <c r="C57" s="304" t="str">
        <f>_xll.BDP(B57&amp;" Corp","security des")</f>
        <v>BTPS 4 3/4 09/01/28</v>
      </c>
    </row>
    <row r="58" spans="1:10">
      <c r="A58" s="370" t="s">
        <v>946</v>
      </c>
      <c r="B58" s="303" t="s">
        <v>718</v>
      </c>
      <c r="C58" s="304" t="str">
        <f>_xll.BDP(B58&amp;" Corp","security des")</f>
        <v>BTPS 5 1/4 11/01/29</v>
      </c>
    </row>
    <row r="59" spans="1:10">
      <c r="B59" s="303" t="s">
        <v>425</v>
      </c>
      <c r="C59" s="304" t="str">
        <f>_xll.BDP(B59&amp;" Corp","security des")</f>
        <v>BTPS 3 1/2 03/01/30</v>
      </c>
    </row>
    <row r="60" spans="1:10">
      <c r="B60" s="303" t="s">
        <v>719</v>
      </c>
      <c r="C60" s="304" t="str">
        <f>_xll.BDP(B60&amp;" Corp","security des")</f>
        <v>BTPS 6 05/01/31</v>
      </c>
    </row>
    <row r="61" spans="1:10">
      <c r="B61" s="303" t="s">
        <v>824</v>
      </c>
      <c r="C61" s="304" t="str">
        <f>_xll.BDP(B61&amp;" Corp","security des")</f>
        <v>BTPS 1.65 03/01/32</v>
      </c>
    </row>
    <row r="62" spans="1:10">
      <c r="B62" s="303" t="s">
        <v>720</v>
      </c>
      <c r="C62" s="304" t="str">
        <f>_xll.BDP(B62&amp;" Corp","security des")</f>
        <v>BTPS 5 3/4 02/01/33</v>
      </c>
    </row>
    <row r="63" spans="1:10">
      <c r="B63" s="373" t="s">
        <v>945</v>
      </c>
      <c r="C63" s="372" t="str">
        <f>_xll.BDP(B63&amp;" Corp","security des")</f>
        <v>BTPS 2.45 09/01/33</v>
      </c>
    </row>
    <row r="64" spans="1:10">
      <c r="B64" s="303" t="s">
        <v>721</v>
      </c>
      <c r="C64" s="304" t="str">
        <f>_xll.BDP(B64&amp;" Corp","security des")</f>
        <v>BTPS 5 08/01/34</v>
      </c>
    </row>
    <row r="65" spans="1:3">
      <c r="B65" s="303" t="s">
        <v>868</v>
      </c>
      <c r="C65" s="304" t="str">
        <f>_xll.BDP(B65&amp;" Corp","security des")</f>
        <v>BTPS 2 1/4 09/01/36</v>
      </c>
    </row>
    <row r="66" spans="1:3">
      <c r="A66" s="370" t="s">
        <v>947</v>
      </c>
      <c r="B66" s="303" t="s">
        <v>722</v>
      </c>
      <c r="C66" s="304" t="str">
        <f>_xll.BDP(B66&amp;" Corp","security des")</f>
        <v>BTPS 4 02/01/37</v>
      </c>
    </row>
    <row r="67" spans="1:3">
      <c r="B67" s="303" t="s">
        <v>723</v>
      </c>
      <c r="C67" s="304" t="str">
        <f>_xll.BDP(B67&amp;" Corp","security des")</f>
        <v>BTPS 5 08/01/39</v>
      </c>
    </row>
    <row r="68" spans="1:3">
      <c r="B68" s="303" t="s">
        <v>724</v>
      </c>
      <c r="C68" s="304" t="str">
        <f>_xll.BDP(B68&amp;" Corp","security des")</f>
        <v>BTPS 5 09/01/40</v>
      </c>
    </row>
    <row r="69" spans="1:3">
      <c r="B69" s="303" t="s">
        <v>725</v>
      </c>
      <c r="C69" s="304" t="str">
        <f>_xll.BDP(B69&amp;" Corp","security des")</f>
        <v>BTPS 4 3/4 09/01/44</v>
      </c>
    </row>
    <row r="70" spans="1:3">
      <c r="B70" s="303" t="s">
        <v>596</v>
      </c>
      <c r="C70" s="304" t="str">
        <f>_xll.BDP(B70&amp;" Corp","security des")</f>
        <v>BTPS 3 1/4 09/01/46</v>
      </c>
    </row>
    <row r="71" spans="1:3">
      <c r="B71" s="373" t="s">
        <v>798</v>
      </c>
      <c r="C71" s="372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C13" sqref="C13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298"/>
      <c r="G2" s="298"/>
      <c r="P2" s="215"/>
      <c r="Q2" s="215"/>
      <c r="R2" s="215"/>
    </row>
    <row r="3" spans="1:18" ht="15.75" thickBot="1">
      <c r="B3" s="409" t="s">
        <v>950</v>
      </c>
      <c r="C3" s="410" t="s">
        <v>951</v>
      </c>
      <c r="D3" s="411" t="s">
        <v>952</v>
      </c>
      <c r="E3" s="412" t="s">
        <v>953</v>
      </c>
      <c r="J3" s="215"/>
      <c r="K3" s="215"/>
      <c r="O3" s="296"/>
      <c r="P3" s="297"/>
      <c r="Q3" s="297"/>
      <c r="R3" s="215"/>
    </row>
    <row r="4" spans="1:18" ht="18" customHeight="1">
      <c r="A4" s="413" t="s">
        <v>996</v>
      </c>
      <c r="B4" s="404">
        <f>VLOOKUP(Isin!B30,Bonds!$E:$AD,COLUMN($AD:$AD)-4,FALSE)-VLOOKUP(Isin!B17,Bonds!$E:$AD,COLUMN($AD:$AD)-4,FALSE)</f>
        <v>7.3468711296259849E-3</v>
      </c>
      <c r="C4" s="404">
        <f>VLOOKUP(Isin!E25,Bonds!$E:$AD,COLUMN($AD:$AD)-4,FALSE)-VLOOKUP(Isin!E18,Bonds!$E:$AD,COLUMN($AD:$AD)-4,FALSE)</f>
        <v>4.5494632503521341E-3</v>
      </c>
      <c r="D4" s="404">
        <f>VLOOKUP(Isin!H29,Bonds!$E:$AD,COLUMN($AD:$AD)-4,FALSE)-VLOOKUP(Isin!H21,Bonds!$E:$AD,COLUMN($AD:$AD)-4,FALSE)</f>
        <v>3.646585689295833E-3</v>
      </c>
      <c r="E4" s="405">
        <f>VLOOKUP(Isin!K21,Bonds!$E:$AD,COLUMN($AD:$AD)-4,FALSE)-VLOOKUP(Isin!K14,Bonds!$E:$AD,COLUMN($AD:$AD)-4,FALSE)</f>
        <v>4.3693178408178131E-3</v>
      </c>
      <c r="F4" s="216"/>
      <c r="G4" s="173"/>
    </row>
    <row r="5" spans="1:18" ht="18" customHeight="1">
      <c r="A5" s="414" t="s">
        <v>954</v>
      </c>
      <c r="B5" s="374">
        <f>VLOOKUP(Isin!B42,Bonds!$E:$AD,COLUMN($AD:$AD)-4,FALSE)-VLOOKUP(Isin!B30,Bonds!$E:$AD,COLUMN($AD:$AD)-4,FALSE)</f>
        <v>7.0872165333360874E-3</v>
      </c>
      <c r="C5" s="374">
        <f>VLOOKUP(Isin!E31,Bonds!$E:$AD,COLUMN($AD:$AD)-4,FALSE)-VLOOKUP(Isin!E25,Bonds!$E:$AD,COLUMN($AD:$AD)-4,FALSE)</f>
        <v>5.3889611791235513E-3</v>
      </c>
      <c r="D5" s="374">
        <f>VLOOKUP(Isin!H37,Bonds!$E:$AD,COLUMN($AD:$AD)-4,FALSE)-VLOOKUP(Isin!H29,Bonds!$E:$AD,COLUMN($AD:$AD)-4,FALSE)</f>
        <v>3.9892766202951971E-3</v>
      </c>
      <c r="E5" s="406">
        <f>VLOOKUP(Isin!K26,Bonds!$E:$AD,COLUMN($AD:$AD)-4,FALSE)-VLOOKUP(Isin!K21,Bonds!$E:$AD,COLUMN($AD:$AD)-4,FALSE)</f>
        <v>3.5645026920814414E-3</v>
      </c>
      <c r="F5" s="216"/>
      <c r="G5" s="173"/>
    </row>
    <row r="6" spans="1:18" ht="18" customHeight="1">
      <c r="A6" s="414" t="s">
        <v>955</v>
      </c>
      <c r="B6" s="374">
        <f>VLOOKUP(Isin!B53,Bonds!$E:$AD,COLUMN($AD:$AD)-4,FALSE)-VLOOKUP(Isin!B30,Bonds!$E:$AD,COLUMN($AD:$AD)-4,FALSE)</f>
        <v>1.2866951741060961E-2</v>
      </c>
      <c r="C6" s="374">
        <f>VLOOKUP(Isin!E38,Bonds!$E:$AD,COLUMN($AD:$AD)-4,FALSE)-VLOOKUP(Isin!E25,Bonds!$E:$AD,COLUMN($AD:$AD)-4,FALSE)</f>
        <v>1.0274765488770023E-2</v>
      </c>
      <c r="D6" s="374">
        <f>VLOOKUP(Isin!H42,Bonds!$E:$AD,COLUMN($AD:$AD)-4,FALSE)-VLOOKUP(Isin!H37,Bonds!$E:$AD,COLUMN($AD:$AD)-4,FALSE)</f>
        <v>3.2082174887623806E-3</v>
      </c>
      <c r="E6" s="406">
        <f>VLOOKUP(Isin!K33,Bonds!$E:$AD,COLUMN($AD:$AD)-4,FALSE)-VLOOKUP(Isin!K21,Bonds!$E:$AD,COLUMN($AD:$AD)-4,FALSE)</f>
        <v>8.0959558232064025E-3</v>
      </c>
      <c r="F6" s="216"/>
      <c r="G6" s="173"/>
    </row>
    <row r="7" spans="1:18" ht="18" customHeight="1">
      <c r="A7" s="414" t="s">
        <v>956</v>
      </c>
      <c r="B7" s="374">
        <f>VLOOKUP(Isin!B53,Bonds!$E:$AD,COLUMN($AD:$AD)-4,FALSE)-VLOOKUP(Isin!B42,Bonds!$E:$AD,COLUMN($AD:$AD)-4,FALSE)</f>
        <v>5.7797352077248731E-3</v>
      </c>
      <c r="C7" s="374">
        <f>VLOOKUP(Isin!E38,Bonds!$E:$AD,COLUMN($AD:$AD)-4,FALSE)-VLOOKUP(Isin!E31,Bonds!$E:$AD,COLUMN($AD:$AD)-4,FALSE)</f>
        <v>4.8858043096464722E-3</v>
      </c>
      <c r="D7" s="374">
        <f>VLOOKUP(Isin!H42,Bonds!$E:$AD,COLUMN($AD:$AD)-4,FALSE)-VLOOKUP(Isin!H38,Bonds!$E:$AD,COLUMN($AD:$AD)-4,FALSE)</f>
        <v>2.8524558266707217E-3</v>
      </c>
      <c r="E7" s="406">
        <f>VLOOKUP(Isin!K33,Bonds!$E:$AD,COLUMN($AD:$AD)-4,FALSE)-VLOOKUP(Isin!K27,Bonds!$E:$AD,COLUMN($AD:$AD)-4,FALSE)</f>
        <v>3.6662931853112622E-3</v>
      </c>
      <c r="G7" s="173"/>
    </row>
    <row r="8" spans="1:18" ht="18" customHeight="1">
      <c r="A8" s="414" t="s">
        <v>957</v>
      </c>
      <c r="B8" s="374">
        <f>VLOOKUP(Isin!B63,Bonds!$E:$AD,COLUMN($AD:$AD)-4,FALSE)-VLOOKUP(Isin!B53,Bonds!$E:$AD,COLUMN($AD:$AD)-4,FALSE)</f>
        <v>6.1781253618120244E-3</v>
      </c>
      <c r="C8" s="374">
        <f>VLOOKUP(Isin!E44,Bonds!$E:$AD,COLUMN($AD:$AD)-4,FALSE)-VLOOKUP(Isin!E38,Bonds!$E:$AD,COLUMN($AD:$AD)-4,FALSE)</f>
        <v>6.5474336538487929E-3</v>
      </c>
      <c r="D8" s="374">
        <f>VLOOKUP(Isin!H47,Bonds!$E:$AD,COLUMN($AD:$AD)-4,FALSE)-VLOOKUP(Isin!H42,Bonds!$E:$AD,COLUMN($AD:$AD)-4,FALSE)</f>
        <v>4.5030434886239902E-3</v>
      </c>
      <c r="E8" s="406">
        <f>VLOOKUP(Isin!K39,Bonds!$E:$AD,COLUMN($AD:$AD)-4,FALSE)-VLOOKUP(Isin!K33,Bonds!$E:$AD,COLUMN($AD:$AD)-4,FALSE)</f>
        <v>3.5706146833264039E-3</v>
      </c>
      <c r="G8" s="173"/>
    </row>
    <row r="9" spans="1:18" ht="18" customHeight="1">
      <c r="A9" s="414" t="s">
        <v>958</v>
      </c>
      <c r="B9" s="374">
        <f>VLOOKUP(Isin!B70,Bonds!$E:$AD,COLUMN($AD:$AD)-4,FALSE)-VLOOKUP(Isin!B54,Bonds!$E:$AD,COLUMN($AD:$AD)-4,FALSE)</f>
        <v>1.0240805150973739E-2</v>
      </c>
      <c r="C9" s="374">
        <f>VLOOKUP(Isin!E49,Bonds!$E:$AD,COLUMN($AD:$AD)-4,FALSE)-VLOOKUP(Isin!E39,Bonds!$E:$AD,COLUMN($AD:$AD)-4,FALSE)</f>
        <v>1.0968524657629989E-2</v>
      </c>
      <c r="D9" s="374">
        <f>VLOOKUP(Isin!H53,Bonds!$E:$AD,COLUMN($AD:$AD)-4,FALSE)-VLOOKUP(Isin!H42,Bonds!$E:$AD,COLUMN($AD:$AD)-4,FALSE)</f>
        <v>7.4026971147457439E-3</v>
      </c>
      <c r="E9" s="406">
        <f>VLOOKUP(Isin!K44,Bonds!$E:$AD,COLUMN($AD:$AD)-4,FALSE)-VLOOKUP(Isin!K33,Bonds!$E:$AD,COLUMN($AD:$AD)-4,FALSE)</f>
        <v>8.7448647390966552E-3</v>
      </c>
      <c r="G9" s="173"/>
    </row>
    <row r="10" spans="1:18" ht="18" customHeight="1" thickBot="1">
      <c r="A10" s="415" t="s">
        <v>959</v>
      </c>
      <c r="B10" s="407">
        <f>VLOOKUP(Isin!B71,Bonds!$E:$AD,COLUMN($AD:$AD)-4,FALSE)-VLOOKUP(Isin!B63,Bonds!$E:$AD,COLUMN($AD:$AD)-4,FALSE)</f>
        <v>4.4234880306090706E-3</v>
      </c>
      <c r="C10" s="407">
        <f>VLOOKUP(Isin!E49,Bonds!$E:$AD,COLUMN($AD:$AD)-4,FALSE)-VLOOKUP(Isin!E44,Bonds!$E:$AD,COLUMN($AD:$AD)-4,FALSE)</f>
        <v>5.181710046556532E-3</v>
      </c>
      <c r="D10" s="407">
        <f>VLOOKUP(Isin!H53,Bonds!$E:$AD,COLUMN($AD:$AD)-4,FALSE)-VLOOKUP(Isin!H47,Bonds!$E:$AD,COLUMN($AD:$AD)-4,FALSE)</f>
        <v>2.8996536261217537E-3</v>
      </c>
      <c r="E10" s="408">
        <f>VLOOKUP(Isin!K44,Bonds!$E:$AD,COLUMN($AD:$AD)-4,FALSE)-VLOOKUP(Isin!K39,Bonds!$E:$AD,COLUMN($AD:$AD)-4,FALSE)</f>
        <v>5.1742500557702513E-3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1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L32" sqref="L32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23" t="s">
        <v>357</v>
      </c>
      <c r="C2" s="1023"/>
      <c r="D2" s="207"/>
      <c r="F2" s="212" t="s">
        <v>356</v>
      </c>
      <c r="G2" s="211" t="s">
        <v>355</v>
      </c>
      <c r="H2" s="211" t="s">
        <v>354</v>
      </c>
      <c r="I2" s="211" t="s">
        <v>353</v>
      </c>
      <c r="J2" s="211" t="s">
        <v>352</v>
      </c>
      <c r="K2" s="210" t="s">
        <v>351</v>
      </c>
      <c r="L2" s="209" t="s">
        <v>350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346</v>
      </c>
      <c r="C4" s="171" t="s">
        <v>345</v>
      </c>
      <c r="D4" s="174"/>
      <c r="F4" s="206" t="s">
        <v>1726</v>
      </c>
      <c r="G4" s="204">
        <f>4000*0.054</f>
        <v>216</v>
      </c>
      <c r="H4" s="203">
        <v>15.5</v>
      </c>
      <c r="I4" s="203">
        <f>G17</f>
        <v>76.599999999999994</v>
      </c>
      <c r="J4" s="202">
        <f>+H4+I4</f>
        <v>92.1</v>
      </c>
      <c r="K4" s="203">
        <v>0</v>
      </c>
      <c r="L4" s="757">
        <f>G4-H4-I4+K4</f>
        <v>123.9</v>
      </c>
      <c r="M4" s="747"/>
    </row>
    <row r="5" spans="1:15">
      <c r="A5" s="176"/>
      <c r="B5" s="175"/>
      <c r="C5" s="175"/>
      <c r="D5" s="174"/>
      <c r="F5" s="277" t="s">
        <v>756</v>
      </c>
      <c r="G5" s="205"/>
      <c r="H5" s="204"/>
      <c r="I5" s="204"/>
      <c r="J5" s="204"/>
      <c r="K5" s="175"/>
      <c r="L5" s="201"/>
      <c r="N5" s="747">
        <f>+L4+L6</f>
        <v>123.9</v>
      </c>
    </row>
    <row r="6" spans="1:15" ht="14.25">
      <c r="A6" s="176"/>
      <c r="B6" s="182">
        <v>300</v>
      </c>
      <c r="C6" s="181">
        <v>8.0000000000000002E-3</v>
      </c>
      <c r="D6" s="174"/>
      <c r="F6" s="345" t="s">
        <v>1698</v>
      </c>
      <c r="G6" s="204">
        <f>0*0.054</f>
        <v>0</v>
      </c>
      <c r="H6" s="203">
        <v>0</v>
      </c>
      <c r="I6" s="203">
        <f>H17</f>
        <v>0</v>
      </c>
      <c r="J6" s="202">
        <f>+H6+I6</f>
        <v>0</v>
      </c>
      <c r="K6" s="171">
        <v>0</v>
      </c>
      <c r="L6" s="201">
        <f>G6-H6-I6+K6</f>
        <v>0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3"/>
      <c r="H9" s="313"/>
      <c r="J9" s="280" t="s">
        <v>757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78" t="s">
        <v>944</v>
      </c>
      <c r="H10" s="278" t="s">
        <v>1699</v>
      </c>
      <c r="J10" s="194" t="s">
        <v>349</v>
      </c>
      <c r="K10" s="193">
        <v>0</v>
      </c>
      <c r="L10" s="247">
        <f>L4</f>
        <v>123.9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348</v>
      </c>
      <c r="K11" s="191">
        <f>+-(K10/K9)*10</f>
        <v>0</v>
      </c>
      <c r="L11" s="322">
        <f>-(L10*L9)/10</f>
        <v>-109.27979999999999</v>
      </c>
    </row>
    <row r="12" spans="1:15" ht="15.75" thickBot="1">
      <c r="A12" s="172" t="s">
        <v>344</v>
      </c>
      <c r="B12" s="171">
        <f>SUM(B6:B10)</f>
        <v>650</v>
      </c>
      <c r="C12" s="170" t="s">
        <v>343</v>
      </c>
      <c r="D12" s="190">
        <f>(B6*C6+B7*C7+B8*C8+B9*C9+B10*C10)/B12</f>
        <v>1.2615384615384615E-2</v>
      </c>
      <c r="E12" s="323">
        <v>2.75</v>
      </c>
      <c r="F12" s="366" t="s">
        <v>2076</v>
      </c>
      <c r="G12" s="367">
        <v>61.6</v>
      </c>
      <c r="H12" s="367">
        <v>0</v>
      </c>
    </row>
    <row r="13" spans="1:15" ht="13.5" thickBot="1">
      <c r="E13" s="323">
        <v>0</v>
      </c>
      <c r="F13" s="293" t="s">
        <v>2077</v>
      </c>
      <c r="G13" s="347">
        <v>15</v>
      </c>
      <c r="H13" s="347">
        <v>0</v>
      </c>
      <c r="I13" s="324"/>
      <c r="J13" s="307" t="s">
        <v>564</v>
      </c>
      <c r="K13" s="308">
        <f>+L10+K11</f>
        <v>123.9</v>
      </c>
      <c r="M13" s="281" t="s">
        <v>758</v>
      </c>
      <c r="N13" s="279">
        <f>L11+L17</f>
        <v>-109.27979999999999</v>
      </c>
    </row>
    <row r="14" spans="1:15">
      <c r="F14" s="358" t="s">
        <v>905</v>
      </c>
      <c r="G14" s="278">
        <v>0</v>
      </c>
      <c r="H14" s="368">
        <v>0</v>
      </c>
      <c r="I14" s="183"/>
      <c r="L14" s="189"/>
    </row>
    <row r="15" spans="1:15">
      <c r="A15" s="188"/>
      <c r="B15" s="187"/>
      <c r="C15" s="187"/>
      <c r="D15" s="187"/>
      <c r="F15" s="248" t="s">
        <v>1718</v>
      </c>
      <c r="G15" s="278">
        <v>0</v>
      </c>
      <c r="H15" s="248"/>
      <c r="I15" s="173"/>
      <c r="J15" s="280" t="s">
        <v>906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1719</v>
      </c>
      <c r="G16" s="278">
        <v>0</v>
      </c>
      <c r="I16" s="267"/>
      <c r="J16" s="194" t="s">
        <v>349</v>
      </c>
      <c r="K16" s="193">
        <v>0</v>
      </c>
      <c r="L16" s="247">
        <f>L6</f>
        <v>0</v>
      </c>
      <c r="M16" s="167"/>
    </row>
    <row r="17" spans="1:13" ht="15.75">
      <c r="A17" s="184"/>
      <c r="B17" s="1023" t="s">
        <v>347</v>
      </c>
      <c r="C17" s="1023"/>
      <c r="D17" s="174"/>
      <c r="F17" s="248" t="s">
        <v>750</v>
      </c>
      <c r="G17" s="258">
        <f>SUM(G11:G16)</f>
        <v>76.599999999999994</v>
      </c>
      <c r="H17" s="258">
        <f>SUM(H11:H14)</f>
        <v>0</v>
      </c>
      <c r="I17" s="249"/>
      <c r="J17" s="192" t="s">
        <v>348</v>
      </c>
      <c r="K17" s="191">
        <f>+-(K16/K15)*10</f>
        <v>0</v>
      </c>
      <c r="L17" s="191">
        <f>-(L16*L15)/10</f>
        <v>0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346</v>
      </c>
      <c r="C19" s="171" t="s">
        <v>345</v>
      </c>
      <c r="D19" s="174"/>
      <c r="I19" s="249"/>
      <c r="J19" s="216" t="s">
        <v>564</v>
      </c>
      <c r="K19" s="185">
        <f>+L16+K17</f>
        <v>0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902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5"/>
      <c r="J22" s="349" t="s">
        <v>903</v>
      </c>
      <c r="K22" s="350" t="s">
        <v>904</v>
      </c>
      <c r="L22" s="351" t="s">
        <v>896</v>
      </c>
      <c r="M22" s="339" t="s">
        <v>899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26" t="s">
        <v>901</v>
      </c>
      <c r="J23" s="327">
        <v>4000</v>
      </c>
      <c r="K23" s="328">
        <f>(J23*0.25)+(J23*J21)</f>
        <v>1200</v>
      </c>
      <c r="L23" s="352">
        <f>((J23*0.25)*0.054)+((J23*J21)*0.1208)</f>
        <v>78.16</v>
      </c>
      <c r="M23" s="354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29"/>
      <c r="J24" s="330"/>
      <c r="K24" s="331"/>
      <c r="L24" s="335"/>
      <c r="M24" s="355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4"/>
      <c r="I25" s="332" t="s">
        <v>897</v>
      </c>
      <c r="J25" s="333">
        <v>0</v>
      </c>
      <c r="K25" s="340">
        <f>J25*0.15</f>
        <v>0</v>
      </c>
      <c r="L25" s="348">
        <f>((J25*0.25)*0.053)+((J25*J23)*0.1208)</f>
        <v>0</v>
      </c>
      <c r="M25" s="356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29"/>
      <c r="J26" s="334"/>
      <c r="K26" s="335"/>
      <c r="L26" s="335"/>
      <c r="M26" s="355"/>
    </row>
    <row r="27" spans="1:13" ht="15.75" thickBot="1">
      <c r="A27" s="172" t="s">
        <v>344</v>
      </c>
      <c r="B27" s="171">
        <f>SUM(B21:B25)</f>
        <v>140</v>
      </c>
      <c r="C27" s="170" t="s">
        <v>343</v>
      </c>
      <c r="D27" s="169">
        <f>(B21*C21+B22*C22+B23*C23+B24*C24+B25*C25)/B27</f>
        <v>0.51800000000000002</v>
      </c>
      <c r="F27" s="248"/>
      <c r="G27" s="203"/>
      <c r="I27" s="336" t="s">
        <v>898</v>
      </c>
      <c r="J27" s="337">
        <v>0</v>
      </c>
      <c r="K27" s="338">
        <f>J27*0.15</f>
        <v>0</v>
      </c>
      <c r="L27" s="353">
        <f>((J27*0.25)*0.053)+((J27*J25)*0.1208)</f>
        <v>0</v>
      </c>
      <c r="M27" s="357">
        <f>(L27)*(L13/9.95)*10</f>
        <v>0</v>
      </c>
    </row>
    <row r="28" spans="1:13">
      <c r="F28" s="248"/>
      <c r="G28" s="203"/>
      <c r="M28" s="346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752"/>
    </row>
    <row r="31" spans="1:13">
      <c r="F31" s="248"/>
      <c r="G31" s="203"/>
      <c r="I31" s="398" t="s">
        <v>1773</v>
      </c>
      <c r="J31" s="752">
        <v>10</v>
      </c>
      <c r="K31" s="215"/>
      <c r="L31" s="382"/>
      <c r="M31" s="747"/>
    </row>
    <row r="32" spans="1:13">
      <c r="F32" s="248"/>
      <c r="I32" s="751"/>
      <c r="J32" s="752"/>
      <c r="K32" s="382"/>
      <c r="L32" s="382"/>
    </row>
    <row r="33" spans="6:14">
      <c r="F33" s="248"/>
      <c r="I33" s="251"/>
      <c r="J33" s="251"/>
      <c r="K33" s="398"/>
    </row>
    <row r="34" spans="6:14">
      <c r="F34" s="248"/>
      <c r="I34" s="746" t="s">
        <v>1728</v>
      </c>
      <c r="J34" s="251" t="s">
        <v>1727</v>
      </c>
      <c r="L34" s="311"/>
    </row>
    <row r="35" spans="6:14">
      <c r="I35" s="740"/>
      <c r="J35" s="740"/>
      <c r="K35" s="382"/>
      <c r="L35" s="311"/>
    </row>
    <row r="36" spans="6:14">
      <c r="I36" s="215"/>
      <c r="J36" s="185"/>
    </row>
    <row r="37" spans="6:14">
      <c r="K37" s="398"/>
    </row>
    <row r="39" spans="6:14">
      <c r="I39" s="167"/>
    </row>
    <row r="40" spans="6:14">
      <c r="L40" s="249"/>
    </row>
    <row r="41" spans="6:14">
      <c r="H41" s="218">
        <v>101.248</v>
      </c>
      <c r="I41" s="283">
        <f>101.248-99.672</f>
        <v>1.5760000000000076</v>
      </c>
      <c r="J41" s="267">
        <f>28.5*I41*10</f>
        <v>449.16000000000219</v>
      </c>
      <c r="K41" s="291">
        <v>28.5</v>
      </c>
      <c r="L41" s="290" t="s">
        <v>780</v>
      </c>
      <c r="M41" s="292" t="s">
        <v>783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6">
        <v>7</v>
      </c>
      <c r="L42" s="249" t="s">
        <v>781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6">
        <v>10</v>
      </c>
      <c r="L43" s="249" t="s">
        <v>780</v>
      </c>
      <c r="M43" s="288">
        <f>+K42+K43+K44+K46</f>
        <v>33.5</v>
      </c>
      <c r="N43" s="216" t="s">
        <v>782</v>
      </c>
    </row>
    <row r="44" spans="6:14">
      <c r="H44" s="218">
        <v>101.05</v>
      </c>
      <c r="I44" s="282">
        <f>101.05-99.672</f>
        <v>1.3780000000000001</v>
      </c>
      <c r="J44" s="267">
        <f>5*I44*10</f>
        <v>68.900000000000006</v>
      </c>
      <c r="K44" s="285">
        <v>6.5</v>
      </c>
      <c r="L44" s="249" t="s">
        <v>779</v>
      </c>
      <c r="M44" s="167"/>
    </row>
    <row r="45" spans="6:14">
      <c r="H45" s="218">
        <v>100.97</v>
      </c>
      <c r="I45" s="173">
        <f>100.97-99.672</f>
        <v>1.2980000000000018</v>
      </c>
      <c r="J45" s="284">
        <f>8*I45*10</f>
        <v>103.84000000000015</v>
      </c>
      <c r="K45" s="289">
        <v>8</v>
      </c>
      <c r="L45" s="290" t="s">
        <v>778</v>
      </c>
      <c r="M45" s="292" t="s">
        <v>783</v>
      </c>
    </row>
    <row r="46" spans="6:14">
      <c r="H46" s="284">
        <v>100.37</v>
      </c>
      <c r="I46" s="173">
        <f>100.37-99.672</f>
        <v>0.6980000000000075</v>
      </c>
      <c r="J46" s="284">
        <f>10*I46*10</f>
        <v>69.80000000000075</v>
      </c>
      <c r="K46" s="287">
        <v>10</v>
      </c>
      <c r="L46" s="249" t="s">
        <v>777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4">
        <v>27.6</v>
      </c>
      <c r="J50" s="167"/>
      <c r="K50" s="167"/>
      <c r="L50" s="167"/>
      <c r="M50" s="167"/>
    </row>
    <row r="51" spans="8:13">
      <c r="H51" s="167"/>
      <c r="I51" s="284">
        <v>27.6</v>
      </c>
      <c r="J51" s="167"/>
      <c r="K51" s="167"/>
      <c r="L51" s="167"/>
      <c r="M51" s="167"/>
    </row>
    <row r="52" spans="8:13">
      <c r="H52" s="167"/>
      <c r="I52" s="284">
        <v>22.8</v>
      </c>
      <c r="J52" s="167"/>
      <c r="K52" s="167"/>
      <c r="L52" s="167"/>
      <c r="M52" s="167"/>
    </row>
    <row r="53" spans="8:13">
      <c r="I53" s="284">
        <v>15.8</v>
      </c>
    </row>
    <row r="54" spans="8:13">
      <c r="I54" s="284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opLeftCell="A7" zoomScaleNormal="100" workbookViewId="0">
      <selection activeCell="P9" sqref="P9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76" customWidth="1"/>
    <col min="45" max="45" width="4.7109375" style="776" customWidth="1"/>
    <col min="46" max="46" width="6.7109375" style="776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777">
        <f>Bonds!$G$26</f>
        <v>43768</v>
      </c>
      <c r="Q1" s="777">
        <f>Bonds!$G$27</f>
        <v>43800</v>
      </c>
      <c r="R1" s="777">
        <f>Bonds!$G$28</f>
        <v>43862</v>
      </c>
      <c r="S1" s="777">
        <f>Bonds!$G$29</f>
        <v>43891</v>
      </c>
      <c r="T1" s="777">
        <f>Bonds!$G$30</f>
        <v>43952</v>
      </c>
      <c r="U1" s="777">
        <f>Bonds!$G$31</f>
        <v>43997</v>
      </c>
      <c r="V1" s="777">
        <f>Bonds!$G$32</f>
        <v>44075</v>
      </c>
      <c r="W1" s="777">
        <f>Bonds!$G$33</f>
        <v>44119</v>
      </c>
      <c r="X1" s="777">
        <f>Bonds!$G$34</f>
        <v>44136</v>
      </c>
      <c r="Y1" s="777">
        <f>Bonds!$G$35</f>
        <v>44256</v>
      </c>
      <c r="Z1" s="777">
        <f>Bonds!$G$36</f>
        <v>44317</v>
      </c>
      <c r="AA1" s="777">
        <f>Bonds!$G$37</f>
        <v>44348</v>
      </c>
      <c r="AB1" s="777">
        <f>Bonds!$G$38</f>
        <v>44409</v>
      </c>
      <c r="AC1" s="777">
        <f>Bonds!$G$39</f>
        <v>44440</v>
      </c>
      <c r="AD1" s="777">
        <f>Bonds!$G$40</f>
        <v>44501</v>
      </c>
      <c r="AE1" s="777">
        <f>Bonds!$G$41</f>
        <v>44545</v>
      </c>
      <c r="AF1" s="777">
        <f>Bonds!$G$42</f>
        <v>44621</v>
      </c>
      <c r="AG1" s="777">
        <f>Bonds!$G$43</f>
        <v>44652</v>
      </c>
      <c r="AH1" s="777">
        <f>Bonds!$G$44</f>
        <v>44666</v>
      </c>
      <c r="AI1" s="777">
        <f>Bonds!$G$45</f>
        <v>44774</v>
      </c>
      <c r="AJ1" s="777">
        <f>Bonds!$G$46</f>
        <v>44805</v>
      </c>
      <c r="AK1" s="777">
        <f>Bonds!$G$47</f>
        <v>44819</v>
      </c>
      <c r="AL1" s="777">
        <f>Bonds!$G$48</f>
        <v>44866</v>
      </c>
      <c r="AM1" s="777">
        <f>Bonds!$G$49</f>
        <v>44986</v>
      </c>
      <c r="AN1" s="777">
        <f>Bonds!$G$50</f>
        <v>45000</v>
      </c>
      <c r="AO1" s="777">
        <f>Bonds!$G$51</f>
        <v>45047</v>
      </c>
      <c r="AP1" s="777">
        <f>Bonds!$G$52</f>
        <v>45139</v>
      </c>
      <c r="AQ1" s="777">
        <f>Bonds!$G$53</f>
        <v>45214</v>
      </c>
      <c r="AR1" s="777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45792</v>
      </c>
      <c r="AZ1" s="142">
        <f>Bonds!$G$62</f>
        <v>45809</v>
      </c>
      <c r="BA1" s="142">
        <f>Bonds!$G$63</f>
        <v>45992</v>
      </c>
      <c r="BB1" s="142">
        <f>Bonds!$G$64</f>
        <v>46082</v>
      </c>
      <c r="BC1" s="142">
        <f>Bonds!$G$65</f>
        <v>46174</v>
      </c>
      <c r="BD1" s="142">
        <f>Bonds!$G$66</f>
        <v>46327</v>
      </c>
      <c r="BE1" s="142">
        <f>Bonds!$G$67</f>
        <v>46357</v>
      </c>
      <c r="BF1" s="142">
        <f>Bonds!$G$68</f>
        <v>46539</v>
      </c>
      <c r="BG1" s="142">
        <f>Bonds!$G$69</f>
        <v>46600</v>
      </c>
      <c r="BH1" s="142">
        <f>Bonds!$G$70</f>
        <v>46692</v>
      </c>
      <c r="BI1" s="142">
        <f>Bonds!$G$71</f>
        <v>46784</v>
      </c>
      <c r="BJ1" s="142">
        <f>Bonds!$G$72</f>
        <v>46997</v>
      </c>
      <c r="BK1" s="142">
        <f>Bonds!$G$73</f>
        <v>47423</v>
      </c>
      <c r="BL1" s="142">
        <f>Bonds!$G$74</f>
        <v>47543</v>
      </c>
      <c r="BM1" s="142">
        <f>Bonds!$G$75</f>
        <v>47969</v>
      </c>
      <c r="BN1" s="142">
        <f>Bonds!$G$76</f>
        <v>48274</v>
      </c>
      <c r="BO1" s="142">
        <f>Bonds!$G$77</f>
        <v>48611</v>
      </c>
      <c r="BP1" s="142">
        <f>Bonds!$G$78</f>
        <v>48823</v>
      </c>
      <c r="BQ1" s="142">
        <f>Bonds!$G$79</f>
        <v>49157</v>
      </c>
      <c r="BR1" s="142">
        <f>Bonds!$G$80</f>
        <v>49919</v>
      </c>
      <c r="BS1" s="142">
        <f>Bonds!$G$81</f>
        <v>50072</v>
      </c>
      <c r="BT1" s="142">
        <f>Bonds!$G$82</f>
        <v>50649</v>
      </c>
      <c r="BU1" s="142">
        <f>Bonds!$G$83</f>
        <v>50983</v>
      </c>
      <c r="BV1" s="142">
        <f>Bonds!$G$84</f>
        <v>51380</v>
      </c>
      <c r="BW1" s="142">
        <f>Bonds!$G$85</f>
        <v>52841</v>
      </c>
      <c r="BX1" s="142">
        <f>Bonds!$G$86</f>
        <v>53571</v>
      </c>
      <c r="BY1" s="142">
        <f>Bonds!$G$87</f>
        <v>53752</v>
      </c>
      <c r="BZ1" s="142">
        <f>Bonds!$G$88</f>
        <v>54118</v>
      </c>
      <c r="CA1" s="142">
        <f>Bonds!$G$89</f>
        <v>61057</v>
      </c>
      <c r="CB1" s="142">
        <f>Bonds!$G$90</f>
        <v>43220</v>
      </c>
      <c r="CC1" s="142">
        <f>Bonds!$G$91</f>
        <v>43311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44681</v>
      </c>
      <c r="CR1" s="142">
        <f>Bonds!$G$106</f>
        <v>44865</v>
      </c>
      <c r="CS1" s="142">
        <f>Bonds!$G$107</f>
        <v>44957</v>
      </c>
      <c r="CT1" s="142">
        <f>Bonds!$G$108</f>
        <v>45230</v>
      </c>
      <c r="CU1" s="142">
        <f>Bonds!$G$109</f>
        <v>45322</v>
      </c>
      <c r="CV1" s="142">
        <f>Bonds!$G$110</f>
        <v>45412</v>
      </c>
      <c r="CW1" s="142">
        <f>Bonds!$G$111</f>
        <v>45596</v>
      </c>
      <c r="CX1" s="142">
        <f>Bonds!$G$112</f>
        <v>45777</v>
      </c>
      <c r="CY1" s="142">
        <f>Bonds!$G$113</f>
        <v>45868</v>
      </c>
      <c r="CZ1" s="142">
        <f>Bonds!$G$114</f>
        <v>45961</v>
      </c>
      <c r="DA1" s="142">
        <f>Bonds!$G$115</f>
        <v>46142</v>
      </c>
      <c r="DB1" s="142">
        <f>Bonds!$G$116</f>
        <v>46233</v>
      </c>
      <c r="DC1" s="142">
        <f>Bonds!$G$117</f>
        <v>46326</v>
      </c>
      <c r="DD1" s="142">
        <f>Bonds!$G$118</f>
        <v>46507</v>
      </c>
      <c r="DE1" s="142">
        <f>Bonds!$G$119</f>
        <v>46691</v>
      </c>
      <c r="DF1" s="142">
        <f>Bonds!$G$120</f>
        <v>46873</v>
      </c>
      <c r="DG1" s="142">
        <f>Bonds!$G$121</f>
        <v>47057</v>
      </c>
      <c r="DH1" s="142">
        <f>Bonds!$G$122</f>
        <v>47149</v>
      </c>
      <c r="DI1" s="142">
        <f>Bonds!$G$123</f>
        <v>47694</v>
      </c>
      <c r="DJ1" s="142">
        <f>Bonds!$G$124</f>
        <v>48425</v>
      </c>
      <c r="DK1" s="142">
        <f>Bonds!$G$125</f>
        <v>48790</v>
      </c>
      <c r="DL1" s="142">
        <f>Bonds!$G$126</f>
        <v>50071</v>
      </c>
      <c r="DM1" s="142">
        <f>Bonds!$G$127</f>
        <v>51347</v>
      </c>
      <c r="DN1" s="142">
        <f>Bonds!$G$128</f>
        <v>51712</v>
      </c>
      <c r="DO1" s="142">
        <f>Bonds!$G$129</f>
        <v>52901</v>
      </c>
      <c r="DP1" s="142">
        <f>Bonds!$G$130</f>
        <v>53631</v>
      </c>
      <c r="DQ1" s="142">
        <f>Bonds!$G$131</f>
        <v>54362</v>
      </c>
      <c r="DR1" s="142">
        <f>Bonds!$G$132</f>
        <v>60843</v>
      </c>
      <c r="DS1" s="142">
        <f>Bonds!$G$133</f>
        <v>43175</v>
      </c>
      <c r="DT1" s="142">
        <f>Bonds!$G$134</f>
        <v>43203</v>
      </c>
      <c r="DU1" s="142">
        <f>Bonds!$G$135</f>
        <v>43266</v>
      </c>
      <c r="DV1" s="142">
        <f>Bonds!$G$136</f>
        <v>43285</v>
      </c>
      <c r="DW1" s="142">
        <f>Bonds!$G$137</f>
        <v>43357</v>
      </c>
      <c r="DX1" s="142">
        <f>Bonds!$G$138</f>
        <v>43385</v>
      </c>
      <c r="DY1" s="142">
        <f>Bonds!$G$139</f>
        <v>43448</v>
      </c>
      <c r="DZ1" s="142">
        <f>Bonds!$G$140</f>
        <v>43469</v>
      </c>
      <c r="EA1" s="142">
        <f>Bonds!$G$141</f>
        <v>43518</v>
      </c>
      <c r="EB1" s="142">
        <f>Bonds!$G$142</f>
        <v>43539</v>
      </c>
      <c r="EC1" s="142">
        <f>Bonds!$G$143</f>
        <v>43567</v>
      </c>
      <c r="ED1" s="142">
        <f>Bonds!$G$144</f>
        <v>43630</v>
      </c>
      <c r="EE1" s="142">
        <f>Bonds!$G$145</f>
        <v>43650</v>
      </c>
      <c r="EF1" s="142">
        <f>Bonds!$G$146</f>
        <v>43721</v>
      </c>
      <c r="EG1" s="142">
        <f>Bonds!$G$147</f>
        <v>43749</v>
      </c>
      <c r="EH1" s="142">
        <f>Bonds!$G$148</f>
        <v>43812</v>
      </c>
      <c r="EI1" s="142">
        <f>Bonds!$G$149</f>
        <v>43834</v>
      </c>
      <c r="EJ1" s="142">
        <f>Bonds!$G$150</f>
        <v>43903</v>
      </c>
      <c r="EK1" s="142">
        <f>Bonds!$G$151</f>
        <v>43938</v>
      </c>
      <c r="EL1" s="142">
        <f>Bonds!$G$152</f>
        <v>44016</v>
      </c>
      <c r="EM1" s="142">
        <f>Bonds!$G$153</f>
        <v>44078</v>
      </c>
      <c r="EN1" s="142">
        <f>Bonds!$G$154</f>
        <v>44120</v>
      </c>
      <c r="EO1" s="142">
        <f>Bonds!$G$155</f>
        <v>44200</v>
      </c>
      <c r="EP1" s="142">
        <f>Bonds!$G$156</f>
        <v>44295</v>
      </c>
      <c r="EQ1" s="142">
        <f>Bonds!$G$157</f>
        <v>44381</v>
      </c>
      <c r="ER1" s="142">
        <f>Bonds!$G$158</f>
        <v>44443</v>
      </c>
      <c r="ES1" s="142">
        <f>Bonds!$G$159</f>
        <v>44477</v>
      </c>
      <c r="ET1" s="142">
        <f>Bonds!$G$160</f>
        <v>44565</v>
      </c>
      <c r="EU1" s="142">
        <f>Bonds!$G$161</f>
        <v>44659</v>
      </c>
      <c r="EV1" s="142">
        <f>Bonds!$G$162</f>
        <v>44746</v>
      </c>
      <c r="EW1" s="142">
        <f>Bonds!$G$163</f>
        <v>44808</v>
      </c>
      <c r="EX1" s="142">
        <f>Bonds!$G$164</f>
        <v>44841</v>
      </c>
      <c r="EY1" s="142">
        <f>Bonds!$G$165</f>
        <v>44972</v>
      </c>
      <c r="EZ1" s="142">
        <f>Bonds!$G$166</f>
        <v>45030</v>
      </c>
      <c r="FA1" s="142">
        <f>Bonds!$G$167</f>
        <v>45061</v>
      </c>
      <c r="FB1" s="142">
        <f>Bonds!$G$168</f>
        <v>45153</v>
      </c>
      <c r="FC1" s="142">
        <f>Bonds!$G$169</f>
        <v>45295</v>
      </c>
      <c r="FD1" s="142">
        <f>Bonds!$G$170</f>
        <v>45337</v>
      </c>
      <c r="FE1" s="142">
        <f>Bonds!$G$171</f>
        <v>45427</v>
      </c>
      <c r="FF1" s="142">
        <f>Bonds!$G$172</f>
        <v>45519</v>
      </c>
      <c r="FG1" s="142">
        <f>Bonds!$G$173</f>
        <v>45703</v>
      </c>
      <c r="FH1" s="142">
        <f>Bonds!$G$174</f>
        <v>45884</v>
      </c>
      <c r="FI1" s="142">
        <f>Bonds!$G$175</f>
        <v>46068</v>
      </c>
      <c r="FJ1" s="142">
        <f>Bonds!$G$176</f>
        <v>46249</v>
      </c>
      <c r="FK1" s="142">
        <f>Bonds!$G$177</f>
        <v>46433</v>
      </c>
      <c r="FL1" s="142">
        <f>Bonds!$G$178</f>
        <v>46572</v>
      </c>
      <c r="FM1" s="142">
        <f>Bonds!$G$179</f>
        <v>46614</v>
      </c>
      <c r="FN1" s="142">
        <f>Bonds!$G$180</f>
        <v>46756</v>
      </c>
      <c r="FO1" s="142">
        <f>Bonds!$G$181</f>
        <v>46798</v>
      </c>
      <c r="FP1" s="142">
        <f>Bonds!$G$182</f>
        <v>46938</v>
      </c>
      <c r="FQ1" s="142">
        <f>Bonds!$G$183</f>
        <v>47487</v>
      </c>
      <c r="FR1" s="142">
        <f>Bonds!$G$184</f>
        <v>47852</v>
      </c>
      <c r="FS1" s="142">
        <f>Bonds!$G$185</f>
        <v>49129</v>
      </c>
      <c r="FT1" s="142">
        <f>Bonds!$G$186</f>
        <v>50044</v>
      </c>
      <c r="FU1" s="142">
        <f>Bonds!$G$187</f>
        <v>50955</v>
      </c>
      <c r="FV1" s="142">
        <f>Bonds!$G$188</f>
        <v>51321</v>
      </c>
      <c r="FW1" s="142">
        <f>Bonds!$G$189</f>
        <v>52051</v>
      </c>
      <c r="FX1" s="142">
        <f>Bonds!$G$190</f>
        <v>52782</v>
      </c>
      <c r="FY1" s="142">
        <f>Bonds!$G$191</f>
        <v>53554</v>
      </c>
      <c r="FZ1" s="142">
        <f>Bonds!$G$192</f>
        <v>54285</v>
      </c>
      <c r="GA1" s="142">
        <f>Bonds!$G$193</f>
        <v>43215</v>
      </c>
      <c r="GB1" s="142">
        <f>Bonds!$G$194</f>
        <v>43245</v>
      </c>
      <c r="GC1" s="142">
        <f>Bonds!$G$195</f>
        <v>43398</v>
      </c>
      <c r="GD1" s="142">
        <f>Bonds!$G$196</f>
        <v>43429</v>
      </c>
      <c r="GE1" s="142">
        <f>Bonds!$G$197</f>
        <v>43521</v>
      </c>
      <c r="GF1" s="142">
        <f>Bonds!$G$198</f>
        <v>43580</v>
      </c>
      <c r="GG1" s="142">
        <f>Bonds!$G$199</f>
        <v>43610</v>
      </c>
      <c r="GH1" s="142">
        <f>Bonds!$G$200</f>
        <v>43763</v>
      </c>
      <c r="GI1" s="142">
        <f>Bonds!$G$201</f>
        <v>43763</v>
      </c>
      <c r="GJ1" s="142">
        <f>Bonds!$G$202</f>
        <v>43794</v>
      </c>
      <c r="GK1" s="142">
        <f>Bonds!$G$203</f>
        <v>43886</v>
      </c>
    </row>
    <row r="2" spans="1:193" s="145" customFormat="1" ht="12.75" hidden="1" customHeight="1" outlineLevel="1" thickBot="1">
      <c r="C2" s="145" t="s">
        <v>312</v>
      </c>
      <c r="D2" s="158" t="s">
        <v>315</v>
      </c>
      <c r="E2" s="158" t="s">
        <v>316</v>
      </c>
      <c r="H2" s="150" t="str">
        <f>INDEX(Bonds!$E$11:$E$144,MATCH($H$9,Bonds!$AU$11:$AU$144,0),1)</f>
        <v>IT0005086886</v>
      </c>
      <c r="I2" s="150" t="str">
        <f>INDEX(Bonds!$E$11:$E$144,MATCH($H$10,Bonds!$AU$11:$AU$144,0),1)</f>
        <v>IT0004536949</v>
      </c>
      <c r="J2" s="150" t="str">
        <f>INDEX(Bonds!$E$11:$E$144,MATCH($H$11,Bonds!$AU$11:$AU$144,0),1)</f>
        <v>IT0004953417</v>
      </c>
      <c r="K2" s="704" t="str">
        <f>VLOOKUP($H$2,Bonds!$E$11:$AU$143,20,0)</f>
        <v>IT508688=TT</v>
      </c>
      <c r="L2" s="705">
        <f>VLOOKUP($H$2,Bonds!$E$11:$AU$143,21,0)</f>
        <v>0</v>
      </c>
      <c r="M2" s="705">
        <f>VLOOKUP($H$2,Bonds!$E$11:$AU$143,22,0)</f>
        <v>0</v>
      </c>
      <c r="N2" s="705">
        <f>VLOOKUP($H$2,Bonds!$E$11:$AU$143,23,0)</f>
        <v>0</v>
      </c>
      <c r="O2" s="705">
        <f>VLOOKUP($H$2,Bonds!$E$11:$AU$143,24,0)</f>
        <v>0</v>
      </c>
      <c r="P2" s="778">
        <f>VLOOKUP($H$2,Bonds!$E$11:$AU$143,25,0)</f>
        <v>0</v>
      </c>
      <c r="Q2" s="779">
        <f>VLOOKUP($H$2,Bonds!$E$11:$AU$143,26,0)</f>
        <v>5.5088869355493612E-3</v>
      </c>
      <c r="R2" s="764"/>
      <c r="S2" s="778" t="str">
        <f>VLOOKUP($I$2,Bonds!$E$11:$AU$143,20,0)</f>
        <v>IT453694=TT</v>
      </c>
      <c r="T2" s="778">
        <f>VLOOKUP($I$2,Bonds!$E$11:$AU$143,21,0)</f>
        <v>0</v>
      </c>
      <c r="U2" s="778">
        <f>VLOOKUP($H$2,Bonds!$E$11:$AU$143,22,0)</f>
        <v>0</v>
      </c>
      <c r="V2" s="778">
        <f>VLOOKUP($I$2,Bonds!$E$11:$AU$143,23,0)</f>
        <v>0</v>
      </c>
      <c r="W2" s="778">
        <f>VLOOKUP($I$2,Bonds!$E$11:$AU$143,24,0)</f>
        <v>0</v>
      </c>
      <c r="X2" s="778">
        <f>VLOOKUP($I$2,Bonds!$E$11:$AU$143,25,0)</f>
        <v>0</v>
      </c>
      <c r="Y2" s="779">
        <f>VLOOKUP($I$2,Bonds!$E$11:$AU$143,26,0)</f>
        <v>-1.5522472304850057E-3</v>
      </c>
      <c r="Z2" s="764"/>
      <c r="AA2" s="778" t="str">
        <f>VLOOKUP($J$2,Bonds!$E$11:$AU$143,20,0)</f>
        <v>IT495341=TT</v>
      </c>
      <c r="AB2" s="778">
        <f>VLOOKUP($J$2,Bonds!$E$11:$AU$143,21,0)</f>
        <v>0</v>
      </c>
      <c r="AC2" s="778">
        <f>VLOOKUP($J$2,Bonds!$E$11:$AU$143,22,0)</f>
        <v>0</v>
      </c>
      <c r="AD2" s="778">
        <f>VLOOKUP($J$2,Bonds!$E$11:$AU$143,23,0)</f>
        <v>0</v>
      </c>
      <c r="AE2" s="778">
        <f>VLOOKUP($J$2,Bonds!$E$11:$AU$143,24,0)</f>
        <v>0</v>
      </c>
      <c r="AF2" s="778">
        <f>VLOOKUP($J$2,Bonds!$E$11:$AU$143,25,0)</f>
        <v>0</v>
      </c>
      <c r="AG2" s="779">
        <f>VLOOKUP($J$2,Bonds!$E$11:$AU$143,26,0)</f>
        <v>1.1274171047680775E-2</v>
      </c>
      <c r="AH2" s="764"/>
      <c r="AI2" s="764"/>
      <c r="AJ2" s="764"/>
      <c r="AK2" s="764"/>
      <c r="AL2" s="764"/>
      <c r="AM2" s="764"/>
      <c r="AN2" s="764"/>
      <c r="AO2" s="764"/>
      <c r="AP2" s="764"/>
      <c r="AQ2" s="764"/>
      <c r="AR2" s="764"/>
    </row>
    <row r="3" spans="1:193" s="154" customFormat="1" ht="12.75" hidden="1" customHeight="1" outlineLevel="1">
      <c r="A3" s="145"/>
      <c r="B3" s="145"/>
      <c r="C3" s="151" t="s">
        <v>319</v>
      </c>
      <c r="K3" s="704"/>
      <c r="L3" s="705"/>
      <c r="M3" s="705"/>
      <c r="N3" s="705"/>
      <c r="O3" s="705"/>
      <c r="P3" s="778"/>
      <c r="Q3" s="778"/>
      <c r="R3" s="778"/>
      <c r="S3" s="778"/>
      <c r="T3" s="778"/>
      <c r="U3" s="778"/>
      <c r="V3" s="778"/>
      <c r="W3" s="778"/>
      <c r="X3" s="778"/>
      <c r="Y3" s="780"/>
      <c r="Z3" s="778"/>
      <c r="AA3" s="778"/>
      <c r="AB3" s="778"/>
      <c r="AC3" s="778"/>
      <c r="AD3" s="778"/>
      <c r="AE3" s="778"/>
      <c r="AF3" s="778"/>
      <c r="AG3" s="780"/>
      <c r="AH3" s="778"/>
      <c r="AI3" s="778"/>
      <c r="AJ3" s="778"/>
      <c r="AK3" s="778"/>
      <c r="AL3" s="778"/>
      <c r="AM3" s="778"/>
      <c r="AN3" s="778"/>
      <c r="AO3" s="778"/>
      <c r="AP3" s="778"/>
      <c r="AQ3" s="778"/>
      <c r="AR3" s="778"/>
    </row>
    <row r="4" spans="1:193" s="155" customFormat="1" ht="12.75" hidden="1" customHeight="1" outlineLevel="1">
      <c r="A4" s="145"/>
      <c r="B4" s="145"/>
      <c r="C4" s="152" t="s">
        <v>320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317</v>
      </c>
    </row>
    <row r="6" spans="1:193" s="157" customFormat="1" ht="12.75" hidden="1" customHeight="1" outlineLevel="1" thickBot="1">
      <c r="A6" s="145"/>
      <c r="B6" s="145"/>
      <c r="C6" s="153" t="s">
        <v>318</v>
      </c>
    </row>
    <row r="7" spans="1:193" s="764" customFormat="1" ht="12.75" customHeight="1" collapsed="1" thickBot="1"/>
    <row r="8" spans="1:193" ht="13.5" thickBot="1">
      <c r="E8" s="765" t="s">
        <v>314</v>
      </c>
      <c r="F8" s="805" t="s">
        <v>312</v>
      </c>
      <c r="J8" s="148" t="s">
        <v>322</v>
      </c>
    </row>
    <row r="9" spans="1:193" ht="13.5" thickBot="1">
      <c r="G9" s="146" t="s">
        <v>323</v>
      </c>
      <c r="H9" s="1024" t="s">
        <v>2081</v>
      </c>
      <c r="I9" s="1025"/>
      <c r="J9" s="149"/>
      <c r="N9" s="158"/>
    </row>
    <row r="10" spans="1:193" ht="13.5" thickBot="1">
      <c r="C10" s="143" t="s">
        <v>329</v>
      </c>
      <c r="D10" s="806">
        <v>44136</v>
      </c>
      <c r="G10" s="146" t="s">
        <v>324</v>
      </c>
      <c r="H10" s="1024" t="s">
        <v>2082</v>
      </c>
      <c r="I10" s="1025"/>
      <c r="J10" s="149"/>
      <c r="K10" s="147">
        <f>Q2-Y2</f>
        <v>7.061134166034367E-3</v>
      </c>
      <c r="O10" s="148"/>
    </row>
    <row r="11" spans="1:193" ht="13.5" thickBot="1">
      <c r="C11" s="144" t="s">
        <v>330</v>
      </c>
      <c r="D11" s="807">
        <v>47543</v>
      </c>
      <c r="G11" s="146" t="s">
        <v>324</v>
      </c>
      <c r="H11" s="1024" t="s">
        <v>2080</v>
      </c>
      <c r="I11" s="1025"/>
      <c r="J11" s="149"/>
      <c r="K11" s="147">
        <f>(+Y2+AG2-(2*Q2))</f>
        <v>-1.2958500539029527E-3</v>
      </c>
    </row>
    <row r="13" spans="1:193" s="759" customFormat="1">
      <c r="E13" s="760"/>
      <c r="F13" s="760"/>
      <c r="G13" s="760"/>
      <c r="H13" s="760"/>
      <c r="I13" s="760"/>
      <c r="J13" s="760"/>
      <c r="K13" s="760"/>
      <c r="L13" s="760"/>
      <c r="M13" s="760"/>
      <c r="N13" s="760"/>
      <c r="O13" s="760"/>
      <c r="P13" s="760"/>
      <c r="Q13" s="760"/>
      <c r="R13" s="781"/>
      <c r="S13" s="781"/>
      <c r="T13" s="781"/>
      <c r="U13" s="781"/>
      <c r="V13" s="781"/>
      <c r="W13" s="781"/>
      <c r="X13" s="781"/>
      <c r="Y13" s="781"/>
      <c r="Z13" s="781"/>
      <c r="AA13" s="781"/>
      <c r="AB13" s="781"/>
      <c r="AC13" s="781"/>
      <c r="AD13" s="781"/>
      <c r="AE13" s="781"/>
      <c r="AF13" s="781"/>
      <c r="AG13" s="781"/>
      <c r="AH13" s="781"/>
      <c r="AI13" s="781"/>
      <c r="AJ13" s="781"/>
      <c r="AK13" s="781"/>
      <c r="AL13" s="781"/>
      <c r="AM13" s="781"/>
      <c r="AN13" s="781"/>
      <c r="AO13" s="781"/>
      <c r="AP13" s="781"/>
      <c r="AQ13" s="781"/>
      <c r="AR13" s="781"/>
      <c r="AS13" s="781"/>
      <c r="AT13" s="781"/>
      <c r="AU13" s="760"/>
      <c r="AV13" s="760"/>
      <c r="AW13" s="760"/>
      <c r="AX13" s="760"/>
      <c r="AY13" s="760"/>
      <c r="AZ13" s="760"/>
      <c r="BA13" s="760"/>
      <c r="BB13" s="760"/>
      <c r="BC13" s="760"/>
      <c r="BD13" s="760"/>
      <c r="BE13" s="760"/>
      <c r="BF13" s="760"/>
      <c r="BG13" s="760"/>
      <c r="BH13" s="760"/>
      <c r="BI13" s="760"/>
      <c r="BJ13" s="760"/>
      <c r="BK13" s="760"/>
      <c r="BL13" s="760"/>
      <c r="BM13" s="760"/>
      <c r="BN13" s="760"/>
      <c r="BO13" s="760"/>
      <c r="BP13" s="760"/>
      <c r="BQ13" s="760"/>
      <c r="BR13" s="760"/>
      <c r="BS13" s="760"/>
      <c r="BT13" s="760"/>
      <c r="BU13" s="760"/>
      <c r="BV13" s="760"/>
      <c r="BW13" s="760"/>
      <c r="BX13" s="760"/>
      <c r="BY13" s="760"/>
      <c r="BZ13" s="760"/>
      <c r="CA13" s="760"/>
      <c r="CB13" s="760"/>
      <c r="CC13" s="760"/>
      <c r="CD13" s="760"/>
      <c r="CE13" s="760"/>
    </row>
    <row r="14" spans="1:193" s="759" customFormat="1">
      <c r="E14" s="760"/>
      <c r="F14" s="760"/>
      <c r="G14" s="760"/>
      <c r="H14" s="760"/>
      <c r="I14" s="760"/>
      <c r="J14" s="760"/>
      <c r="K14" s="760"/>
      <c r="L14" s="760"/>
      <c r="M14" s="760"/>
      <c r="N14" s="760"/>
      <c r="O14" s="760"/>
      <c r="P14" s="760"/>
      <c r="Q14" s="760"/>
      <c r="R14" s="781"/>
      <c r="S14" s="781"/>
      <c r="T14" s="781"/>
      <c r="U14" s="781"/>
      <c r="V14" s="781"/>
      <c r="W14" s="781"/>
      <c r="X14" s="781"/>
      <c r="Y14" s="781"/>
      <c r="Z14" s="781"/>
      <c r="AA14" s="781"/>
      <c r="AB14" s="781"/>
      <c r="AC14" s="781"/>
      <c r="AD14" s="781"/>
      <c r="AE14" s="781"/>
      <c r="AF14" s="781"/>
      <c r="AG14" s="781"/>
      <c r="AH14" s="781"/>
      <c r="AI14" s="781"/>
      <c r="AJ14" s="781"/>
      <c r="AK14" s="781"/>
      <c r="AL14" s="781"/>
      <c r="AM14" s="781"/>
      <c r="AN14" s="781"/>
      <c r="AO14" s="781"/>
      <c r="AP14" s="781"/>
      <c r="AQ14" s="781"/>
      <c r="AR14" s="781"/>
      <c r="AS14" s="781"/>
      <c r="AT14" s="781"/>
      <c r="AU14" s="760"/>
      <c r="AV14" s="760"/>
      <c r="AW14" s="760"/>
      <c r="AX14" s="760"/>
      <c r="AY14" s="760"/>
      <c r="AZ14" s="760"/>
      <c r="BA14" s="760"/>
      <c r="BB14" s="760"/>
      <c r="BC14" s="760"/>
      <c r="BD14" s="760"/>
      <c r="BE14" s="760"/>
      <c r="BF14" s="760"/>
      <c r="BG14" s="760"/>
      <c r="BH14" s="760"/>
      <c r="BI14" s="760"/>
      <c r="BJ14" s="760"/>
      <c r="BK14" s="760"/>
      <c r="BL14" s="760"/>
      <c r="BM14" s="760"/>
      <c r="BN14" s="760"/>
      <c r="BO14" s="760"/>
      <c r="BP14" s="760"/>
      <c r="BQ14" s="760"/>
      <c r="BR14" s="760"/>
      <c r="BS14" s="760"/>
      <c r="BT14" s="760"/>
      <c r="BU14" s="760"/>
      <c r="BV14" s="760"/>
      <c r="BW14" s="760"/>
      <c r="BX14" s="760"/>
      <c r="BY14" s="760"/>
      <c r="BZ14" s="760"/>
      <c r="CA14" s="760"/>
      <c r="CB14" s="760"/>
      <c r="CC14" s="760"/>
      <c r="CD14" s="760"/>
      <c r="CE14" s="760"/>
    </row>
    <row r="15" spans="1:193" s="759" customFormat="1">
      <c r="C15" s="784"/>
      <c r="D15" s="813"/>
      <c r="E15" s="762"/>
      <c r="F15" s="816"/>
      <c r="G15" s="817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81"/>
      <c r="S15" s="781"/>
      <c r="T15" s="781"/>
      <c r="U15" s="781"/>
      <c r="V15" s="781"/>
      <c r="W15" s="781"/>
      <c r="X15" s="781"/>
      <c r="Y15" s="781"/>
      <c r="Z15" s="781"/>
      <c r="AA15" s="781"/>
      <c r="AB15" s="781"/>
      <c r="AC15" s="781"/>
      <c r="AD15" s="781"/>
      <c r="AE15" s="781"/>
      <c r="AF15" s="781"/>
      <c r="AG15" s="781"/>
      <c r="AH15" s="781"/>
      <c r="AI15" s="781"/>
      <c r="AJ15" s="781"/>
      <c r="AK15" s="781"/>
      <c r="AL15" s="781"/>
      <c r="AM15" s="781"/>
      <c r="AN15" s="781"/>
      <c r="AO15" s="781"/>
      <c r="AP15" s="781"/>
      <c r="AQ15" s="781"/>
      <c r="AR15" s="781"/>
      <c r="AS15" s="781"/>
      <c r="AT15" s="781"/>
      <c r="AU15" s="762"/>
      <c r="AV15" s="762"/>
      <c r="AW15" s="762"/>
      <c r="AX15" s="762"/>
      <c r="AY15" s="762"/>
      <c r="AZ15" s="762"/>
      <c r="BA15" s="762"/>
      <c r="BB15" s="762"/>
      <c r="BC15" s="762"/>
      <c r="BD15" s="762"/>
      <c r="BE15" s="762"/>
      <c r="BF15" s="762"/>
      <c r="BG15" s="762"/>
      <c r="BH15" s="762"/>
      <c r="BI15" s="762"/>
      <c r="BJ15" s="762"/>
      <c r="BK15" s="762"/>
      <c r="BL15" s="762"/>
      <c r="BM15" s="762"/>
      <c r="BN15" s="762"/>
      <c r="BO15" s="762"/>
      <c r="BP15" s="762"/>
      <c r="BQ15" s="762"/>
      <c r="BR15" s="762"/>
      <c r="BS15" s="762"/>
      <c r="BT15" s="762"/>
      <c r="BU15" s="762"/>
      <c r="BV15" s="762"/>
      <c r="BW15" s="762"/>
      <c r="BX15" s="762"/>
      <c r="BY15" s="762"/>
      <c r="BZ15" s="762"/>
      <c r="CA15" s="762"/>
      <c r="CB15" s="762"/>
      <c r="CC15" s="762"/>
      <c r="CD15" s="762"/>
      <c r="CE15" s="762"/>
    </row>
    <row r="16" spans="1:193" s="759" customFormat="1">
      <c r="C16" s="785"/>
      <c r="D16" s="814"/>
      <c r="E16" s="762"/>
      <c r="F16" s="818"/>
      <c r="G16" s="819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81"/>
      <c r="S16" s="781"/>
      <c r="T16" s="781"/>
      <c r="U16" s="781"/>
      <c r="V16" s="781"/>
      <c r="W16" s="781"/>
      <c r="X16" s="781"/>
      <c r="Y16" s="781"/>
      <c r="Z16" s="781"/>
      <c r="AA16" s="781"/>
      <c r="AB16" s="781"/>
      <c r="AC16" s="781"/>
      <c r="AD16" s="781"/>
      <c r="AE16" s="781"/>
      <c r="AF16" s="781"/>
      <c r="AG16" s="781"/>
      <c r="AH16" s="781"/>
      <c r="AI16" s="781"/>
      <c r="AJ16" s="781"/>
      <c r="AK16" s="781"/>
      <c r="AL16" s="781"/>
      <c r="AM16" s="781"/>
      <c r="AN16" s="781"/>
      <c r="AO16" s="781"/>
      <c r="AP16" s="781"/>
      <c r="AQ16" s="781"/>
      <c r="AR16" s="781"/>
      <c r="AS16" s="781"/>
      <c r="AT16" s="781"/>
      <c r="AU16" s="762"/>
      <c r="AV16" s="762"/>
      <c r="AW16" s="762"/>
      <c r="AX16" s="762"/>
      <c r="AY16" s="762"/>
      <c r="AZ16" s="762"/>
      <c r="BA16" s="762"/>
      <c r="BB16" s="762"/>
      <c r="BC16" s="762"/>
      <c r="BD16" s="762"/>
      <c r="BE16" s="762"/>
      <c r="BF16" s="762"/>
      <c r="BG16" s="762"/>
      <c r="BH16" s="762"/>
      <c r="BI16" s="762"/>
      <c r="BJ16" s="762"/>
      <c r="BK16" s="762"/>
      <c r="BL16" s="762"/>
      <c r="BM16" s="762"/>
      <c r="BN16" s="762"/>
      <c r="BO16" s="762"/>
      <c r="BP16" s="762"/>
      <c r="BQ16" s="762"/>
      <c r="BR16" s="762"/>
      <c r="BS16" s="762"/>
      <c r="BT16" s="762"/>
      <c r="BU16" s="762"/>
      <c r="BV16" s="762"/>
      <c r="BW16" s="762"/>
      <c r="BX16" s="762"/>
      <c r="BY16" s="762"/>
      <c r="BZ16" s="762"/>
      <c r="CA16" s="762"/>
      <c r="CB16" s="762"/>
      <c r="CC16" s="762"/>
      <c r="CD16" s="762"/>
      <c r="CE16" s="762"/>
    </row>
    <row r="17" spans="2:83" s="759" customFormat="1">
      <c r="C17" s="785"/>
      <c r="D17" s="814"/>
      <c r="E17" s="762"/>
      <c r="F17" s="818"/>
      <c r="G17" s="819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81"/>
      <c r="S17" s="781"/>
      <c r="T17" s="781"/>
      <c r="U17" s="781"/>
      <c r="V17" s="781"/>
      <c r="W17" s="781"/>
      <c r="X17" s="781"/>
      <c r="Y17" s="781"/>
      <c r="Z17" s="781"/>
      <c r="AA17" s="781"/>
      <c r="AB17" s="781"/>
      <c r="AC17" s="781"/>
      <c r="AD17" s="781"/>
      <c r="AE17" s="781"/>
      <c r="AF17" s="781"/>
      <c r="AG17" s="781"/>
      <c r="AH17" s="781"/>
      <c r="AI17" s="781"/>
      <c r="AJ17" s="781"/>
      <c r="AK17" s="781"/>
      <c r="AL17" s="781"/>
      <c r="AM17" s="781"/>
      <c r="AN17" s="781"/>
      <c r="AO17" s="781"/>
      <c r="AP17" s="781"/>
      <c r="AQ17" s="781"/>
      <c r="AR17" s="781"/>
      <c r="AS17" s="781"/>
      <c r="AT17" s="781"/>
      <c r="AU17" s="762"/>
      <c r="AV17" s="762"/>
      <c r="AW17" s="762"/>
      <c r="AX17" s="762"/>
      <c r="AY17" s="762"/>
      <c r="AZ17" s="762"/>
      <c r="BA17" s="762"/>
      <c r="BB17" s="762"/>
      <c r="BC17" s="762"/>
      <c r="BD17" s="762"/>
      <c r="BE17" s="762"/>
      <c r="BF17" s="762"/>
      <c r="BG17" s="762"/>
      <c r="BH17" s="762"/>
      <c r="BI17" s="762"/>
      <c r="BJ17" s="762"/>
      <c r="BK17" s="762"/>
      <c r="BL17" s="762"/>
      <c r="BM17" s="762"/>
      <c r="BN17" s="762"/>
      <c r="BO17" s="762"/>
      <c r="BP17" s="762"/>
      <c r="BQ17" s="762"/>
      <c r="BR17" s="762"/>
      <c r="BS17" s="762"/>
      <c r="BT17" s="762"/>
      <c r="BU17" s="762"/>
      <c r="BV17" s="762"/>
      <c r="BW17" s="762"/>
      <c r="BX17" s="762"/>
      <c r="BY17" s="762"/>
      <c r="BZ17" s="762"/>
      <c r="CA17" s="762"/>
      <c r="CB17" s="762"/>
      <c r="CC17" s="762"/>
      <c r="CD17" s="762"/>
      <c r="CE17" s="762"/>
    </row>
    <row r="18" spans="2:83" s="759" customFormat="1">
      <c r="C18" s="786"/>
      <c r="D18" s="815"/>
      <c r="E18" s="762"/>
      <c r="F18" s="820"/>
      <c r="G18" s="821"/>
      <c r="H18" s="761"/>
      <c r="I18" s="761"/>
      <c r="J18" s="761"/>
      <c r="K18" s="761"/>
      <c r="L18" s="761"/>
      <c r="M18" s="761"/>
      <c r="N18" s="761"/>
      <c r="O18" s="761"/>
      <c r="P18" s="761"/>
      <c r="Q18" s="761"/>
      <c r="R18" s="769"/>
      <c r="S18" s="769"/>
      <c r="T18" s="769"/>
      <c r="U18" s="769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1"/>
      <c r="AV18" s="761"/>
      <c r="AW18" s="761"/>
      <c r="AX18" s="761"/>
      <c r="AY18" s="761"/>
      <c r="AZ18" s="761"/>
      <c r="BA18" s="761"/>
      <c r="BB18" s="761"/>
      <c r="BC18" s="761"/>
      <c r="BD18" s="761"/>
      <c r="BE18" s="761"/>
      <c r="BF18" s="761"/>
      <c r="BG18" s="761"/>
      <c r="BH18" s="761"/>
      <c r="BI18" s="761"/>
      <c r="BJ18" s="761"/>
      <c r="BK18" s="761"/>
      <c r="BL18" s="761"/>
      <c r="BM18" s="761"/>
      <c r="BN18" s="761"/>
      <c r="BO18" s="761"/>
      <c r="BP18" s="761"/>
      <c r="BQ18" s="761"/>
      <c r="BR18" s="761"/>
      <c r="BS18" s="761"/>
      <c r="BT18" s="761"/>
      <c r="BU18" s="761"/>
      <c r="BV18" s="761"/>
      <c r="BW18" s="761"/>
      <c r="BX18" s="761"/>
      <c r="BY18" s="761"/>
      <c r="BZ18" s="761"/>
      <c r="CA18" s="761"/>
      <c r="CB18" s="761"/>
      <c r="CC18" s="761"/>
      <c r="CD18" s="761"/>
      <c r="CE18" s="761"/>
    </row>
    <row r="19" spans="2:83" s="759" customFormat="1">
      <c r="E19" s="762"/>
      <c r="J19" s="767"/>
      <c r="K19" s="761"/>
      <c r="L19" s="761"/>
      <c r="M19" s="761"/>
      <c r="N19" s="761"/>
      <c r="P19" s="761"/>
      <c r="Q19" s="761"/>
      <c r="R19" s="769"/>
      <c r="S19" s="769"/>
      <c r="T19" s="769"/>
      <c r="U19" s="769"/>
      <c r="V19" s="769"/>
      <c r="W19" s="769"/>
      <c r="X19" s="769"/>
      <c r="Y19" s="769"/>
      <c r="Z19" s="769"/>
      <c r="AA19" s="769"/>
      <c r="AB19" s="769"/>
      <c r="AC19" s="769"/>
      <c r="AD19" s="769"/>
      <c r="AE19" s="769"/>
      <c r="AF19" s="769"/>
      <c r="AG19" s="769"/>
      <c r="AH19" s="769"/>
      <c r="AI19" s="769"/>
      <c r="AJ19" s="769"/>
      <c r="AK19" s="769"/>
      <c r="AL19" s="769"/>
      <c r="AM19" s="769"/>
      <c r="AN19" s="769"/>
      <c r="AO19" s="769"/>
      <c r="AP19" s="769"/>
      <c r="AQ19" s="769"/>
      <c r="AR19" s="769"/>
      <c r="AS19" s="769"/>
      <c r="AT19" s="769"/>
      <c r="AU19" s="761"/>
      <c r="AV19" s="761"/>
      <c r="AW19" s="761"/>
      <c r="AX19" s="761"/>
      <c r="AY19" s="761"/>
      <c r="AZ19" s="761"/>
      <c r="BA19" s="761"/>
      <c r="BB19" s="761"/>
      <c r="BC19" s="761"/>
      <c r="BD19" s="761"/>
      <c r="BE19" s="761"/>
      <c r="BF19" s="761"/>
      <c r="BG19" s="761"/>
      <c r="BH19" s="761"/>
      <c r="BI19" s="761"/>
      <c r="BJ19" s="761"/>
      <c r="BK19" s="761"/>
      <c r="BL19" s="761"/>
      <c r="BM19" s="761"/>
      <c r="BN19" s="761"/>
      <c r="BO19" s="761"/>
      <c r="BP19" s="761"/>
      <c r="BQ19" s="761"/>
      <c r="BR19" s="761"/>
      <c r="BS19" s="761"/>
      <c r="BT19" s="761"/>
      <c r="BU19" s="761"/>
      <c r="BV19" s="761"/>
      <c r="BW19" s="761"/>
      <c r="BX19" s="761"/>
      <c r="BY19" s="761"/>
      <c r="BZ19" s="761"/>
      <c r="CA19" s="761"/>
      <c r="CB19" s="761"/>
      <c r="CC19" s="761"/>
      <c r="CD19" s="761"/>
      <c r="CE19" s="761"/>
    </row>
    <row r="20" spans="2:83" s="759" customFormat="1" ht="13.5" thickBot="1">
      <c r="C20" s="774" t="s">
        <v>1737</v>
      </c>
      <c r="D20" s="775">
        <f>Today</f>
        <v>43175</v>
      </c>
      <c r="E20" s="809">
        <f>COUNT($M$23:$AP$23)</f>
        <v>11</v>
      </c>
      <c r="G20" s="809">
        <f>COUNT(YieldSpread)</f>
        <v>25</v>
      </c>
      <c r="H20" s="810" t="s">
        <v>1736</v>
      </c>
      <c r="J20" s="768" t="s">
        <v>1738</v>
      </c>
      <c r="K20" s="770"/>
      <c r="N20" s="761"/>
      <c r="AS20" s="769"/>
      <c r="AT20" s="769"/>
      <c r="AU20" s="761"/>
      <c r="AV20" s="761"/>
      <c r="AW20" s="761"/>
      <c r="AX20" s="761"/>
      <c r="AY20" s="761"/>
      <c r="AZ20" s="761"/>
      <c r="BA20" s="761"/>
      <c r="BB20" s="761"/>
      <c r="BC20" s="761"/>
      <c r="BD20" s="761"/>
      <c r="BE20" s="761"/>
      <c r="BF20" s="761"/>
      <c r="BG20" s="761"/>
      <c r="BH20" s="761"/>
      <c r="BI20" s="761"/>
      <c r="BJ20" s="761"/>
      <c r="BK20" s="761"/>
      <c r="BL20" s="761"/>
      <c r="BM20" s="761"/>
      <c r="BN20" s="761"/>
      <c r="BO20" s="761"/>
      <c r="BP20" s="761"/>
      <c r="BQ20" s="761"/>
      <c r="BR20" s="761"/>
      <c r="BS20" s="761"/>
      <c r="BT20" s="761"/>
      <c r="BU20" s="761"/>
      <c r="BV20" s="761"/>
      <c r="BW20" s="761"/>
      <c r="BX20" s="761"/>
      <c r="BY20" s="761"/>
      <c r="BZ20" s="761"/>
      <c r="CA20" s="761"/>
      <c r="CB20" s="761"/>
      <c r="CC20" s="761"/>
      <c r="CD20" s="761"/>
      <c r="CE20" s="761"/>
    </row>
    <row r="21" spans="2:83" s="759" customFormat="1" ht="12.75" customHeight="1" thickBot="1">
      <c r="C21" s="771" t="s">
        <v>1735</v>
      </c>
      <c r="D21" s="772" t="s">
        <v>717</v>
      </c>
      <c r="E21" s="772" t="str">
        <f>_xll.GenericSql("SELECT INSTRUMENT FROM FIN.BONDS_LIST WHERE ISIN='"&amp;D21&amp;"'",FALSE)</f>
        <v>BTP 01-sep-28 4.75%</v>
      </c>
      <c r="F21" s="773"/>
      <c r="G21" s="773"/>
      <c r="H21" s="811">
        <f>VLOOKUP($D21,Bonds!$E$11:$AM$347,26,FALSE)*100</f>
        <v>2.0233255888034942</v>
      </c>
      <c r="J21" s="812">
        <v>43157</v>
      </c>
      <c r="K21" s="761"/>
      <c r="L21" s="761"/>
      <c r="N21" s="761"/>
      <c r="O21" s="802"/>
      <c r="P21" s="803"/>
      <c r="Q21" s="803"/>
      <c r="R21" s="803"/>
      <c r="S21" s="803"/>
      <c r="T21" s="803"/>
      <c r="U21" s="803"/>
      <c r="V21" s="803"/>
      <c r="W21" s="803"/>
      <c r="X21" s="803"/>
      <c r="Y21" s="803"/>
      <c r="Z21" s="803"/>
      <c r="AA21" s="803"/>
      <c r="AB21" s="803"/>
      <c r="AC21" s="803"/>
      <c r="AD21" s="803"/>
      <c r="AE21" s="803"/>
      <c r="AF21" s="803"/>
      <c r="AG21" s="803"/>
      <c r="AH21" s="803"/>
      <c r="AI21" s="803"/>
      <c r="AJ21" s="803"/>
      <c r="AK21" s="803"/>
      <c r="AL21" s="803"/>
      <c r="AM21" s="803"/>
      <c r="AN21" s="803"/>
      <c r="AO21" s="803"/>
      <c r="AP21" s="803"/>
      <c r="AQ21" s="803"/>
      <c r="AR21" s="803"/>
      <c r="AS21" s="769"/>
      <c r="AT21" s="769"/>
      <c r="AU21" s="761"/>
      <c r="AV21" s="761"/>
      <c r="AW21" s="761"/>
      <c r="AX21" s="761"/>
      <c r="AY21" s="761"/>
      <c r="AZ21" s="761"/>
      <c r="BA21" s="761"/>
      <c r="BB21" s="761"/>
      <c r="BC21" s="761"/>
      <c r="BD21" s="761"/>
      <c r="BE21" s="761"/>
      <c r="BF21" s="761"/>
      <c r="BG21" s="761"/>
      <c r="BH21" s="761"/>
      <c r="BI21" s="761"/>
      <c r="BJ21" s="761"/>
      <c r="BK21" s="761"/>
      <c r="BL21" s="761"/>
      <c r="BM21" s="761"/>
      <c r="BN21" s="761"/>
      <c r="BO21" s="761"/>
      <c r="BP21" s="761"/>
      <c r="BQ21" s="761"/>
      <c r="BR21" s="761"/>
      <c r="BS21" s="761"/>
      <c r="BT21" s="761"/>
      <c r="BU21" s="761"/>
      <c r="BV21" s="761"/>
      <c r="BW21" s="761"/>
      <c r="BX21" s="761"/>
      <c r="BY21" s="761"/>
      <c r="BZ21" s="761"/>
      <c r="CA21" s="761"/>
      <c r="CB21" s="761"/>
      <c r="CC21" s="761"/>
      <c r="CD21" s="761"/>
      <c r="CE21" s="761"/>
    </row>
    <row r="22" spans="2:83" s="759" customFormat="1" ht="12.75" customHeight="1" thickBot="1">
      <c r="D22" s="762"/>
      <c r="E22" s="761"/>
      <c r="F22" s="761"/>
      <c r="G22" s="761"/>
      <c r="H22" s="761"/>
      <c r="J22" s="761"/>
      <c r="K22" s="761"/>
      <c r="L22" s="761"/>
      <c r="M22" s="783">
        <v>43157</v>
      </c>
      <c r="N22" s="783">
        <v>43158</v>
      </c>
      <c r="O22" s="783">
        <v>43159</v>
      </c>
      <c r="P22" s="783">
        <v>43160</v>
      </c>
      <c r="Q22" s="783">
        <v>43161</v>
      </c>
      <c r="R22" s="783">
        <v>43164</v>
      </c>
      <c r="S22" s="783">
        <v>43165</v>
      </c>
      <c r="T22" s="783">
        <v>43166</v>
      </c>
      <c r="U22" s="783">
        <v>43167</v>
      </c>
      <c r="V22" s="783">
        <v>43172</v>
      </c>
      <c r="W22" s="783">
        <v>43174</v>
      </c>
      <c r="X22" s="783"/>
      <c r="Y22" s="783"/>
      <c r="Z22" s="783"/>
      <c r="AA22" s="783"/>
      <c r="AB22" s="783"/>
      <c r="AC22" s="783"/>
      <c r="AD22" s="783"/>
      <c r="AE22" s="783"/>
      <c r="AF22" s="783"/>
      <c r="AG22" s="783"/>
      <c r="AH22" s="783"/>
      <c r="AI22" s="783"/>
      <c r="AJ22" s="783"/>
      <c r="AK22" s="783"/>
      <c r="AL22" s="783"/>
      <c r="AM22" s="783"/>
      <c r="AN22" s="783"/>
      <c r="AO22" s="783"/>
      <c r="AP22" s="783"/>
      <c r="AS22" s="769"/>
      <c r="AT22" s="769"/>
      <c r="AU22" s="761"/>
      <c r="AV22" s="761"/>
      <c r="AW22" s="761"/>
      <c r="AX22" s="761"/>
      <c r="AY22" s="761"/>
      <c r="AZ22" s="761"/>
      <c r="BA22" s="761"/>
      <c r="BB22" s="761"/>
      <c r="BC22" s="761"/>
      <c r="BD22" s="761"/>
      <c r="BE22" s="761"/>
      <c r="BF22" s="761"/>
      <c r="BG22" s="761"/>
      <c r="BH22" s="761"/>
      <c r="BI22" s="761"/>
      <c r="BJ22" s="761"/>
      <c r="BK22" s="761"/>
      <c r="BL22" s="761"/>
      <c r="BM22" s="761"/>
      <c r="BN22" s="761"/>
      <c r="BO22" s="761"/>
      <c r="BP22" s="761"/>
      <c r="BQ22" s="761"/>
      <c r="BR22" s="761"/>
      <c r="BS22" s="761"/>
      <c r="BT22" s="761"/>
      <c r="BU22" s="761"/>
      <c r="BV22" s="761"/>
      <c r="BW22" s="761"/>
      <c r="BX22" s="761"/>
      <c r="BY22" s="761"/>
      <c r="BZ22" s="761"/>
      <c r="CA22" s="761"/>
      <c r="CB22" s="761"/>
      <c r="CC22" s="761"/>
      <c r="CD22" s="761"/>
      <c r="CE22" s="761"/>
    </row>
    <row r="23" spans="2:83" s="759" customFormat="1">
      <c r="B23" s="808">
        <v>1</v>
      </c>
      <c r="D23" s="766" t="s">
        <v>423</v>
      </c>
      <c r="E23" s="1026" t="str">
        <f>_xll.GenericSql("SELECT INSTRUMENT FROM FIN.BONDS_LIST WHERE ISIN='"&amp;D23&amp;"'",FALSE)</f>
        <v>BTP 01-sep-24 3.75%</v>
      </c>
      <c r="F23" s="1026"/>
      <c r="G23" s="1026"/>
      <c r="H23" s="822">
        <f>IF(VLOOKUP($D23,Bonds!$E$11:$AM$347,26,FALSE)*100-$H$21&gt;0,VLOOKUP($D23,Bonds!$E$11:$AM$347,26,FALSE)*100-$H$21,$H$21-VLOOKUP($D23,Bonds!$E$11:$AM$347,26,FALSE)*100)</f>
        <v>0.76371524191494933</v>
      </c>
      <c r="J23" s="822">
        <f>IF(ISNUMBER(HLOOKUP($J$21,$M$22:$AR$47,$B23+1,FALSE)),$H23-HLOOKUP($J$21,$M$22:$AR$47,$B23+1,FALSE),"NO DATA")</f>
        <v>-2.4284758085050706E-2</v>
      </c>
      <c r="M23" s="787">
        <v>0.78800000000000003</v>
      </c>
      <c r="N23" s="788">
        <v>0.77400000000000002</v>
      </c>
      <c r="O23" s="788">
        <v>0.77</v>
      </c>
      <c r="P23" s="788">
        <v>0.77470079390151114</v>
      </c>
      <c r="Q23" s="788">
        <v>0.78121841986957952</v>
      </c>
      <c r="R23" s="788">
        <v>0.80015592283823334</v>
      </c>
      <c r="S23" s="788">
        <v>0.81038382848419555</v>
      </c>
      <c r="T23" s="788">
        <v>0.79207861707739213</v>
      </c>
      <c r="U23" s="788">
        <v>0.77411678743252321</v>
      </c>
      <c r="V23" s="788">
        <v>0.77548524457127987</v>
      </c>
      <c r="W23" s="788">
        <v>0.76069196556326091</v>
      </c>
      <c r="X23" s="788"/>
      <c r="Y23" s="788"/>
      <c r="Z23" s="788"/>
      <c r="AA23" s="788"/>
      <c r="AB23" s="788"/>
      <c r="AC23" s="788"/>
      <c r="AD23" s="788"/>
      <c r="AE23" s="788"/>
      <c r="AF23" s="788"/>
      <c r="AG23" s="788"/>
      <c r="AH23" s="788"/>
      <c r="AI23" s="788"/>
      <c r="AJ23" s="788"/>
      <c r="AK23" s="788"/>
      <c r="AL23" s="788"/>
      <c r="AM23" s="788"/>
      <c r="AN23" s="788"/>
      <c r="AO23" s="788"/>
      <c r="AP23" s="789"/>
      <c r="AU23" s="761"/>
      <c r="AV23" s="761"/>
      <c r="AW23" s="761"/>
      <c r="AX23" s="761"/>
      <c r="AY23" s="761"/>
      <c r="AZ23" s="761"/>
      <c r="BA23" s="761"/>
      <c r="BB23" s="761"/>
      <c r="BC23" s="761"/>
      <c r="BD23" s="761"/>
      <c r="BE23" s="761"/>
      <c r="BF23" s="761"/>
      <c r="BG23" s="761"/>
      <c r="BH23" s="761"/>
      <c r="BI23" s="761"/>
      <c r="BJ23" s="761"/>
      <c r="BK23" s="761"/>
      <c r="BL23" s="761"/>
      <c r="BM23" s="761"/>
      <c r="BN23" s="761"/>
      <c r="BO23" s="761"/>
      <c r="BP23" s="761"/>
      <c r="BQ23" s="761"/>
      <c r="BR23" s="761"/>
      <c r="BS23" s="761"/>
      <c r="BT23" s="761"/>
      <c r="BU23" s="761"/>
      <c r="BV23" s="761"/>
      <c r="BW23" s="761"/>
      <c r="BX23" s="761"/>
      <c r="BY23" s="761"/>
      <c r="BZ23" s="761"/>
      <c r="CA23" s="761"/>
      <c r="CB23" s="761"/>
      <c r="CC23" s="761"/>
      <c r="CD23" s="761"/>
      <c r="CE23" s="761"/>
    </row>
    <row r="24" spans="2:83" s="759" customFormat="1">
      <c r="B24" s="808">
        <f>B23+1</f>
        <v>2</v>
      </c>
      <c r="D24" s="766" t="s">
        <v>994</v>
      </c>
      <c r="E24" s="1026" t="str">
        <f>_xll.GenericSql("SELECT INSTRUMENT FROM FIN.BONDS_LIST WHERE ISIN='"&amp;D24&amp;"'",FALSE)</f>
        <v>BTP 15-nov-24 1.45%</v>
      </c>
      <c r="F24" s="1026"/>
      <c r="G24" s="1026"/>
      <c r="H24" s="823">
        <f>IF(VLOOKUP($D24,Bonds!$E$11:$AM$347,26,FALSE)*100-$H$21&gt;0,VLOOKUP($D24,Bonds!$E$11:$AM$347,26,FALSE)*100-$H$21,$H$21-VLOOKUP($D24,Bonds!$E$11:$AM$347,26,FALSE)*100)</f>
        <v>0.69344807428702082</v>
      </c>
      <c r="J24" s="823">
        <f t="shared" ref="J24:J47" si="0">IF(ISNUMBER(HLOOKUP($J$21,$M$22:$AR$47,$B24+1,FALSE)),$H24-HLOOKUP($J$21,$M$22:$AR$47,$B24+1,FALSE),"NO DATA")</f>
        <v>-1.6551925712979143E-2</v>
      </c>
      <c r="M24" s="790">
        <v>0.71</v>
      </c>
      <c r="N24" s="791">
        <v>0.69599999999999995</v>
      </c>
      <c r="O24" s="791">
        <v>0.7</v>
      </c>
      <c r="P24" s="791">
        <v>0.70301547843763257</v>
      </c>
      <c r="Q24" s="791">
        <v>0.70643328574581243</v>
      </c>
      <c r="R24" s="791">
        <v>0.72744981777356288</v>
      </c>
      <c r="S24" s="791">
        <v>0.72974783198135418</v>
      </c>
      <c r="T24" s="791">
        <v>0.71083395767509772</v>
      </c>
      <c r="U24" s="791">
        <v>0.70009028384457217</v>
      </c>
      <c r="V24" s="791">
        <v>0.70210447180072943</v>
      </c>
      <c r="W24" s="791">
        <v>0.69747294738018173</v>
      </c>
      <c r="X24" s="791"/>
      <c r="Y24" s="791"/>
      <c r="Z24" s="791"/>
      <c r="AA24" s="791"/>
      <c r="AB24" s="791"/>
      <c r="AC24" s="791"/>
      <c r="AD24" s="791"/>
      <c r="AE24" s="791"/>
      <c r="AF24" s="791"/>
      <c r="AG24" s="791"/>
      <c r="AH24" s="791"/>
      <c r="AI24" s="791"/>
      <c r="AJ24" s="791"/>
      <c r="AK24" s="791"/>
      <c r="AL24" s="791"/>
      <c r="AM24" s="791"/>
      <c r="AN24" s="791"/>
      <c r="AO24" s="791"/>
      <c r="AP24" s="792"/>
      <c r="AU24" s="761"/>
      <c r="AV24" s="761"/>
      <c r="AW24" s="761"/>
      <c r="AX24" s="761"/>
      <c r="AY24" s="761"/>
      <c r="AZ24" s="761"/>
      <c r="BA24" s="761"/>
      <c r="BB24" s="761"/>
      <c r="BC24" s="761"/>
      <c r="BD24" s="761"/>
      <c r="BE24" s="761"/>
      <c r="BF24" s="761"/>
      <c r="BG24" s="761"/>
      <c r="BH24" s="761"/>
      <c r="BI24" s="761"/>
      <c r="BJ24" s="761"/>
      <c r="BK24" s="761"/>
      <c r="BL24" s="761"/>
      <c r="BM24" s="761"/>
      <c r="BN24" s="761"/>
      <c r="BO24" s="761"/>
      <c r="BP24" s="761"/>
      <c r="BQ24" s="761"/>
      <c r="BR24" s="761"/>
      <c r="BS24" s="761"/>
      <c r="BT24" s="761"/>
      <c r="BU24" s="761"/>
      <c r="BV24" s="761"/>
      <c r="BW24" s="761"/>
      <c r="BX24" s="761"/>
      <c r="BY24" s="761"/>
      <c r="BZ24" s="761"/>
      <c r="CA24" s="761"/>
      <c r="CB24" s="761"/>
      <c r="CC24" s="761"/>
      <c r="CD24" s="761"/>
      <c r="CE24" s="761"/>
    </row>
    <row r="25" spans="2:83" s="759" customFormat="1">
      <c r="B25" s="808">
        <f t="shared" ref="B25:B47" si="1">B24+1</f>
        <v>3</v>
      </c>
      <c r="D25" s="766" t="s">
        <v>424</v>
      </c>
      <c r="E25" s="1026" t="str">
        <f>_xll.GenericSql("SELECT INSTRUMENT FROM FIN.BONDS_LIST WHERE ISIN='"&amp;D25&amp;"'",FALSE)</f>
        <v>BTP 01-dec-24 2.5%</v>
      </c>
      <c r="F25" s="1026"/>
      <c r="G25" s="1026"/>
      <c r="H25" s="823">
        <f>IF(VLOOKUP($D25,Bonds!$E$11:$AM$347,26,FALSE)*100-$H$21&gt;0,VLOOKUP($D25,Bonds!$E$11:$AM$347,26,FALSE)*100-$H$21,$H$21-VLOOKUP($D25,Bonds!$E$11:$AM$347,26,FALSE)*100)</f>
        <v>0.68708170762220577</v>
      </c>
      <c r="J25" s="823">
        <f t="shared" si="0"/>
        <v>-1.8918292377794188E-2</v>
      </c>
      <c r="M25" s="790">
        <v>0.70599999999999996</v>
      </c>
      <c r="N25" s="791">
        <v>0.69199999999999995</v>
      </c>
      <c r="O25" s="791">
        <v>0.69</v>
      </c>
      <c r="P25" s="791">
        <v>0.69524548642064654</v>
      </c>
      <c r="Q25" s="791">
        <v>0.70368042781110285</v>
      </c>
      <c r="R25" s="791">
        <v>0.72248296902052189</v>
      </c>
      <c r="S25" s="791">
        <v>0.72401895609310341</v>
      </c>
      <c r="T25" s="791">
        <v>0.70463494098393809</v>
      </c>
      <c r="U25" s="791">
        <v>0.69166960578644909</v>
      </c>
      <c r="V25" s="791">
        <v>0.68842184200153622</v>
      </c>
      <c r="W25" s="791">
        <v>0.68234914937921043</v>
      </c>
      <c r="X25" s="791"/>
      <c r="Y25" s="791"/>
      <c r="Z25" s="791"/>
      <c r="AA25" s="791"/>
      <c r="AB25" s="791"/>
      <c r="AC25" s="791"/>
      <c r="AD25" s="791"/>
      <c r="AE25" s="791"/>
      <c r="AF25" s="791"/>
      <c r="AG25" s="791"/>
      <c r="AH25" s="791"/>
      <c r="AI25" s="791"/>
      <c r="AJ25" s="791"/>
      <c r="AK25" s="791"/>
      <c r="AL25" s="791"/>
      <c r="AM25" s="791"/>
      <c r="AN25" s="791"/>
      <c r="AO25" s="791"/>
      <c r="AP25" s="792"/>
      <c r="AU25" s="761"/>
      <c r="AV25" s="761"/>
      <c r="AW25" s="761"/>
      <c r="AX25" s="761"/>
      <c r="AY25" s="761"/>
      <c r="AZ25" s="761"/>
      <c r="BA25" s="761"/>
      <c r="BB25" s="761"/>
      <c r="BC25" s="761"/>
      <c r="BD25" s="761"/>
      <c r="BE25" s="761"/>
      <c r="BF25" s="761"/>
      <c r="BG25" s="761"/>
      <c r="BH25" s="761"/>
      <c r="BI25" s="761"/>
      <c r="BJ25" s="761"/>
      <c r="BK25" s="761"/>
      <c r="BL25" s="761"/>
      <c r="BM25" s="761"/>
      <c r="BN25" s="761"/>
      <c r="BO25" s="761"/>
      <c r="BP25" s="761"/>
      <c r="BQ25" s="761"/>
      <c r="BR25" s="761"/>
      <c r="BS25" s="761"/>
      <c r="BT25" s="761"/>
      <c r="BU25" s="761"/>
      <c r="BV25" s="761"/>
      <c r="BW25" s="761"/>
      <c r="BX25" s="761"/>
      <c r="BY25" s="761"/>
      <c r="BZ25" s="761"/>
      <c r="CA25" s="761"/>
      <c r="CB25" s="761"/>
      <c r="CC25" s="761"/>
      <c r="CD25" s="761"/>
      <c r="CE25" s="761"/>
    </row>
    <row r="26" spans="2:83" s="759" customFormat="1">
      <c r="B26" s="808">
        <f>B25+1</f>
        <v>4</v>
      </c>
      <c r="D26" s="766" t="s">
        <v>713</v>
      </c>
      <c r="E26" s="1026" t="str">
        <f>_xll.GenericSql("SELECT INSTRUMENT FROM FIN.BONDS_LIST WHERE ISIN='"&amp;D26&amp;"'",FALSE)</f>
        <v>BTP 01-mar-25 5%</v>
      </c>
      <c r="F26" s="1026"/>
      <c r="G26" s="1026"/>
      <c r="H26" s="823">
        <f>IF(VLOOKUP($D26,Bonds!$E$11:$AM$347,26,FALSE)*100-$H$21&gt;0,VLOOKUP($D26,Bonds!$E$11:$AM$347,26,FALSE)*100-$H$21,$H$21-VLOOKUP($D26,Bonds!$E$11:$AM$347,26,FALSE)*100)</f>
        <v>0.65496371650980012</v>
      </c>
      <c r="J26" s="823">
        <f t="shared" si="0"/>
        <v>-1.0036283490199915E-2</v>
      </c>
      <c r="M26" s="790">
        <v>0.66500000000000004</v>
      </c>
      <c r="N26" s="791">
        <v>0.65600000000000003</v>
      </c>
      <c r="O26" s="791">
        <v>0.65</v>
      </c>
      <c r="P26" s="791">
        <v>0.6610226986540646</v>
      </c>
      <c r="Q26" s="791">
        <v>0.6686327555305287</v>
      </c>
      <c r="R26" s="791">
        <v>0.67875216638565927</v>
      </c>
      <c r="S26" s="791">
        <v>0.67878643863307553</v>
      </c>
      <c r="T26" s="791">
        <v>0.65799910933409245</v>
      </c>
      <c r="U26" s="791">
        <v>0.64277213997259519</v>
      </c>
      <c r="V26" s="791">
        <v>0.650195928512038</v>
      </c>
      <c r="W26" s="791">
        <v>0.65062260330601918</v>
      </c>
      <c r="X26" s="791"/>
      <c r="Y26" s="791"/>
      <c r="Z26" s="791"/>
      <c r="AA26" s="791"/>
      <c r="AB26" s="791"/>
      <c r="AC26" s="791"/>
      <c r="AD26" s="791"/>
      <c r="AE26" s="791"/>
      <c r="AF26" s="791"/>
      <c r="AG26" s="791"/>
      <c r="AH26" s="791"/>
      <c r="AI26" s="791"/>
      <c r="AJ26" s="791"/>
      <c r="AK26" s="791"/>
      <c r="AL26" s="791"/>
      <c r="AM26" s="791"/>
      <c r="AN26" s="791"/>
      <c r="AO26" s="791"/>
      <c r="AP26" s="792"/>
      <c r="AU26" s="761"/>
      <c r="AV26" s="761"/>
      <c r="AW26" s="761"/>
      <c r="AX26" s="761"/>
      <c r="AY26" s="761"/>
      <c r="AZ26" s="761"/>
      <c r="BA26" s="761"/>
      <c r="BB26" s="761"/>
      <c r="BC26" s="761"/>
      <c r="BD26" s="761"/>
      <c r="BE26" s="761"/>
      <c r="BF26" s="761"/>
      <c r="BG26" s="761"/>
      <c r="BH26" s="761"/>
      <c r="BI26" s="761"/>
      <c r="BJ26" s="761"/>
      <c r="BK26" s="761"/>
      <c r="BL26" s="761"/>
      <c r="BM26" s="761"/>
      <c r="BN26" s="761"/>
      <c r="BO26" s="761"/>
      <c r="BP26" s="761"/>
      <c r="BQ26" s="761"/>
      <c r="BR26" s="761"/>
      <c r="BS26" s="761"/>
      <c r="BT26" s="761"/>
      <c r="BU26" s="761"/>
      <c r="BV26" s="761"/>
      <c r="BW26" s="761"/>
      <c r="BX26" s="761"/>
      <c r="BY26" s="761"/>
      <c r="BZ26" s="761"/>
      <c r="CA26" s="761"/>
      <c r="CB26" s="761"/>
      <c r="CC26" s="761"/>
      <c r="CD26" s="761"/>
      <c r="CE26" s="761"/>
    </row>
    <row r="27" spans="2:83" s="759" customFormat="1">
      <c r="B27" s="808">
        <f t="shared" si="1"/>
        <v>5</v>
      </c>
      <c r="D27" s="766" t="s">
        <v>593</v>
      </c>
      <c r="E27" s="1026" t="str">
        <f>_xll.GenericSql("SELECT INSTRUMENT FROM FIN.BONDS_LIST WHERE ISIN='"&amp;D27&amp;"'",FALSE)</f>
        <v>BTP 01-jun-25 1.5%</v>
      </c>
      <c r="F27" s="1026"/>
      <c r="G27" s="1026"/>
      <c r="H27" s="823">
        <f>IF(VLOOKUP($D27,Bonds!$E$11:$AM$347,26,FALSE)*100-$H$21&gt;0,VLOOKUP($D27,Bonds!$E$11:$AM$347,26,FALSE)*100-$H$21,$H$21-VLOOKUP($D27,Bonds!$E$11:$AM$347,26,FALSE)*100)</f>
        <v>0.56198664603015103</v>
      </c>
      <c r="J27" s="823">
        <f t="shared" si="0"/>
        <v>-1.7013353969848932E-2</v>
      </c>
      <c r="M27" s="790">
        <v>0.57899999999999996</v>
      </c>
      <c r="N27" s="791">
        <v>0.56799999999999995</v>
      </c>
      <c r="O27" s="791">
        <v>0.56999999999999995</v>
      </c>
      <c r="P27" s="791">
        <v>0.57883754422089462</v>
      </c>
      <c r="Q27" s="791">
        <v>0.5834159450536649</v>
      </c>
      <c r="R27" s="791">
        <v>0.59110150821603336</v>
      </c>
      <c r="S27" s="791">
        <v>0.59646508502044737</v>
      </c>
      <c r="T27" s="791">
        <v>0.5725038654741117</v>
      </c>
      <c r="U27" s="791">
        <v>0.56645815874409955</v>
      </c>
      <c r="V27" s="791">
        <v>0.55638962075151976</v>
      </c>
      <c r="W27" s="791">
        <v>0.55951113238945172</v>
      </c>
      <c r="X27" s="791"/>
      <c r="Y27" s="791"/>
      <c r="Z27" s="791"/>
      <c r="AA27" s="791"/>
      <c r="AB27" s="791"/>
      <c r="AC27" s="791"/>
      <c r="AD27" s="791"/>
      <c r="AE27" s="791"/>
      <c r="AF27" s="791"/>
      <c r="AG27" s="791"/>
      <c r="AH27" s="791"/>
      <c r="AI27" s="791"/>
      <c r="AJ27" s="791"/>
      <c r="AK27" s="791"/>
      <c r="AL27" s="791"/>
      <c r="AM27" s="791"/>
      <c r="AN27" s="791"/>
      <c r="AO27" s="791"/>
      <c r="AP27" s="792"/>
      <c r="AU27" s="761"/>
      <c r="AV27" s="761"/>
      <c r="AW27" s="761"/>
      <c r="AX27" s="761"/>
      <c r="AY27" s="761"/>
      <c r="AZ27" s="761"/>
      <c r="BA27" s="761"/>
      <c r="BB27" s="761"/>
      <c r="BC27" s="761"/>
      <c r="BD27" s="761"/>
      <c r="BE27" s="761"/>
      <c r="BF27" s="761"/>
      <c r="BG27" s="761"/>
      <c r="BH27" s="761"/>
      <c r="BI27" s="761"/>
      <c r="BJ27" s="761"/>
      <c r="BK27" s="761"/>
      <c r="BL27" s="761"/>
      <c r="BM27" s="761"/>
      <c r="BN27" s="761"/>
      <c r="BO27" s="761"/>
      <c r="BP27" s="761"/>
      <c r="BQ27" s="761"/>
      <c r="BR27" s="761"/>
      <c r="BS27" s="761"/>
      <c r="BT27" s="761"/>
      <c r="BU27" s="761"/>
      <c r="BV27" s="761"/>
      <c r="BW27" s="761"/>
      <c r="BX27" s="761"/>
      <c r="BY27" s="761"/>
      <c r="BZ27" s="761"/>
      <c r="CA27" s="761"/>
      <c r="CB27" s="761"/>
      <c r="CC27" s="761"/>
      <c r="CD27" s="761"/>
      <c r="CE27" s="761"/>
    </row>
    <row r="28" spans="2:83" s="759" customFormat="1">
      <c r="B28" s="808">
        <f t="shared" si="1"/>
        <v>6</v>
      </c>
      <c r="D28" s="766" t="s">
        <v>749</v>
      </c>
      <c r="E28" s="1026" t="str">
        <f>_xll.GenericSql("SELECT INSTRUMENT FROM FIN.BONDS_LIST WHERE ISIN='"&amp;D28&amp;"'",FALSE)</f>
        <v>BTP 01-dec-25 2%</v>
      </c>
      <c r="F28" s="1026"/>
      <c r="G28" s="1026"/>
      <c r="H28" s="823">
        <f>IF(VLOOKUP($D28,Bonds!$E$11:$AM$347,26,FALSE)*100-$H$21&gt;0,VLOOKUP($D28,Bonds!$E$11:$AM$347,26,FALSE)*100-$H$21,$H$21-VLOOKUP($D28,Bonds!$E$11:$AM$347,26,FALSE)*100)</f>
        <v>0.44426478293432825</v>
      </c>
      <c r="J28" s="823">
        <f t="shared" si="0"/>
        <v>-8.7352170656717631E-3</v>
      </c>
      <c r="M28" s="790">
        <v>0.45300000000000001</v>
      </c>
      <c r="N28" s="791">
        <v>0.442</v>
      </c>
      <c r="O28" s="791">
        <v>0.44</v>
      </c>
      <c r="P28" s="791">
        <v>0.44863955866671512</v>
      </c>
      <c r="Q28" s="791">
        <v>0.45696951119700846</v>
      </c>
      <c r="R28" s="791">
        <v>0.47095899007094344</v>
      </c>
      <c r="S28" s="791">
        <v>0.47075103572712917</v>
      </c>
      <c r="T28" s="791">
        <v>0.45477791214157959</v>
      </c>
      <c r="U28" s="791">
        <v>0.44708975108429927</v>
      </c>
      <c r="V28" s="791">
        <v>0.45256948269897812</v>
      </c>
      <c r="W28" s="791">
        <v>0.44444996209243559</v>
      </c>
      <c r="X28" s="791"/>
      <c r="Y28" s="791"/>
      <c r="Z28" s="791"/>
      <c r="AA28" s="791"/>
      <c r="AB28" s="791"/>
      <c r="AC28" s="791"/>
      <c r="AD28" s="791"/>
      <c r="AE28" s="791"/>
      <c r="AF28" s="791"/>
      <c r="AG28" s="791"/>
      <c r="AH28" s="791"/>
      <c r="AI28" s="791"/>
      <c r="AJ28" s="791"/>
      <c r="AK28" s="791"/>
      <c r="AL28" s="791"/>
      <c r="AM28" s="791"/>
      <c r="AN28" s="791"/>
      <c r="AO28" s="791"/>
      <c r="AP28" s="792"/>
      <c r="AU28" s="761"/>
      <c r="AV28" s="761"/>
      <c r="AW28" s="761"/>
      <c r="AX28" s="761"/>
      <c r="AY28" s="761"/>
      <c r="AZ28" s="761"/>
      <c r="BA28" s="761"/>
      <c r="BB28" s="761"/>
      <c r="BC28" s="761"/>
      <c r="BD28" s="761"/>
      <c r="BE28" s="761"/>
      <c r="BF28" s="761"/>
      <c r="BG28" s="761"/>
      <c r="BH28" s="761"/>
      <c r="BI28" s="761"/>
      <c r="BJ28" s="761"/>
      <c r="BK28" s="761"/>
      <c r="BL28" s="761"/>
      <c r="BM28" s="761"/>
      <c r="BN28" s="761"/>
      <c r="BO28" s="761"/>
      <c r="BP28" s="761"/>
      <c r="BQ28" s="761"/>
      <c r="BR28" s="761"/>
      <c r="BS28" s="761"/>
      <c r="BT28" s="761"/>
      <c r="BU28" s="761"/>
      <c r="BV28" s="761"/>
      <c r="BW28" s="761"/>
      <c r="BX28" s="761"/>
      <c r="BY28" s="761"/>
      <c r="BZ28" s="761"/>
      <c r="CA28" s="761"/>
      <c r="CB28" s="761"/>
      <c r="CC28" s="761"/>
      <c r="CD28" s="761"/>
      <c r="CE28" s="761"/>
    </row>
    <row r="29" spans="2:83" s="759" customFormat="1">
      <c r="B29" s="808">
        <f t="shared" si="1"/>
        <v>7</v>
      </c>
      <c r="D29" s="766" t="s">
        <v>714</v>
      </c>
      <c r="E29" s="1026" t="str">
        <f>_xll.GenericSql("SELECT INSTRUMENT FROM FIN.BONDS_LIST WHERE ISIN='"&amp;D29&amp;"'",FALSE)</f>
        <v>BTP 01-mar-26 4.5%</v>
      </c>
      <c r="F29" s="1026"/>
      <c r="G29" s="1026"/>
      <c r="H29" s="823">
        <f>IF(VLOOKUP($D29,Bonds!$E$11:$AM$347,26,FALSE)*100-$H$21&gt;0,VLOOKUP($D29,Bonds!$E$11:$AM$347,26,FALSE)*100-$H$21,$H$21-VLOOKUP($D29,Bonds!$E$11:$AM$347,26,FALSE)*100)</f>
        <v>0.43524184987767667</v>
      </c>
      <c r="J29" s="823">
        <f t="shared" si="0"/>
        <v>-1.1758150122323341E-2</v>
      </c>
      <c r="M29" s="790">
        <v>0.44700000000000001</v>
      </c>
      <c r="N29" s="791">
        <v>0.437</v>
      </c>
      <c r="O29" s="791">
        <v>0.44</v>
      </c>
      <c r="P29" s="791">
        <v>0.4451456677295722</v>
      </c>
      <c r="Q29" s="791">
        <v>0.44811067342084709</v>
      </c>
      <c r="R29" s="791">
        <v>0.45998351409725013</v>
      </c>
      <c r="S29" s="791">
        <v>0.45784559758067345</v>
      </c>
      <c r="T29" s="791">
        <v>0.43981681469630884</v>
      </c>
      <c r="U29" s="791">
        <v>0.42829222026820957</v>
      </c>
      <c r="V29" s="791">
        <v>0.43894421955070895</v>
      </c>
      <c r="W29" s="791">
        <v>0.43583651388010924</v>
      </c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2"/>
      <c r="AU29" s="761"/>
      <c r="AV29" s="761"/>
      <c r="AW29" s="761"/>
      <c r="AX29" s="761"/>
      <c r="AY29" s="761"/>
      <c r="AZ29" s="761"/>
      <c r="BA29" s="761"/>
      <c r="BB29" s="761"/>
      <c r="BC29" s="761"/>
      <c r="BD29" s="761"/>
      <c r="BE29" s="761"/>
      <c r="BF29" s="761"/>
      <c r="BG29" s="761"/>
      <c r="BH29" s="761"/>
      <c r="BI29" s="761"/>
      <c r="BJ29" s="761"/>
      <c r="BK29" s="761"/>
      <c r="BL29" s="761"/>
      <c r="BM29" s="761"/>
      <c r="BN29" s="761"/>
      <c r="BO29" s="761"/>
      <c r="BP29" s="761"/>
      <c r="BQ29" s="761"/>
      <c r="BR29" s="761"/>
      <c r="BS29" s="761"/>
      <c r="BT29" s="761"/>
      <c r="BU29" s="761"/>
      <c r="BV29" s="761"/>
      <c r="BW29" s="761"/>
      <c r="BX29" s="761"/>
      <c r="BY29" s="761"/>
      <c r="BZ29" s="761"/>
      <c r="CA29" s="761"/>
      <c r="CB29" s="761"/>
      <c r="CC29" s="761"/>
      <c r="CD29" s="761"/>
      <c r="CE29" s="761"/>
    </row>
    <row r="30" spans="2:83" s="759" customFormat="1">
      <c r="B30" s="808">
        <f t="shared" si="1"/>
        <v>8</v>
      </c>
      <c r="D30" s="766" t="s">
        <v>800</v>
      </c>
      <c r="E30" s="1026" t="str">
        <f>_xll.GenericSql("SELECT INSTRUMENT FROM FIN.BONDS_LIST WHERE ISIN='"&amp;D30&amp;"'",FALSE)</f>
        <v>BTP 01-jun-26 1.6%</v>
      </c>
      <c r="F30" s="1026"/>
      <c r="G30" s="1026"/>
      <c r="H30" s="823">
        <f>IF(VLOOKUP($D30,Bonds!$E$11:$AM$347,26,FALSE)*100-$H$21&gt;0,VLOOKUP($D30,Bonds!$E$11:$AM$347,26,FALSE)*100-$H$21,$H$21-VLOOKUP($D30,Bonds!$E$11:$AM$347,26,FALSE)*100)</f>
        <v>0.34443173840971819</v>
      </c>
      <c r="J30" s="823">
        <f t="shared" si="0"/>
        <v>4.3173840971821864E-4</v>
      </c>
      <c r="M30" s="790">
        <v>0.34399999999999997</v>
      </c>
      <c r="N30" s="791">
        <v>0.33900000000000002</v>
      </c>
      <c r="O30" s="791">
        <v>0.34</v>
      </c>
      <c r="P30" s="791">
        <v>0.35044944238042186</v>
      </c>
      <c r="Q30" s="791">
        <v>0.35528023350320614</v>
      </c>
      <c r="R30" s="791">
        <v>0.36752102194594727</v>
      </c>
      <c r="S30" s="791">
        <v>0.36825545309801266</v>
      </c>
      <c r="T30" s="791">
        <v>0.35534153087250742</v>
      </c>
      <c r="U30" s="791">
        <v>0.34761667049256739</v>
      </c>
      <c r="V30" s="791">
        <v>0.36073415027965017</v>
      </c>
      <c r="W30" s="791">
        <v>0.34847954056492259</v>
      </c>
      <c r="X30" s="791"/>
      <c r="Y30" s="791"/>
      <c r="Z30" s="791"/>
      <c r="AA30" s="791"/>
      <c r="AB30" s="791"/>
      <c r="AC30" s="791"/>
      <c r="AD30" s="791"/>
      <c r="AE30" s="791"/>
      <c r="AF30" s="791"/>
      <c r="AG30" s="791"/>
      <c r="AH30" s="791"/>
      <c r="AI30" s="791"/>
      <c r="AJ30" s="791"/>
      <c r="AK30" s="791"/>
      <c r="AL30" s="791"/>
      <c r="AM30" s="791"/>
      <c r="AN30" s="791"/>
      <c r="AO30" s="791"/>
      <c r="AP30" s="792"/>
      <c r="AU30" s="761"/>
      <c r="AV30" s="761"/>
      <c r="AW30" s="761"/>
      <c r="AX30" s="761"/>
      <c r="AY30" s="761"/>
      <c r="AZ30" s="761"/>
      <c r="BA30" s="761"/>
      <c r="BB30" s="761"/>
      <c r="BC30" s="761"/>
      <c r="BD30" s="761"/>
      <c r="BE30" s="761"/>
      <c r="BF30" s="761"/>
      <c r="BG30" s="761"/>
      <c r="BH30" s="761"/>
      <c r="BI30" s="761"/>
      <c r="BJ30" s="761"/>
      <c r="BK30" s="761"/>
      <c r="BL30" s="761"/>
      <c r="BM30" s="761"/>
      <c r="BN30" s="761"/>
      <c r="BO30" s="761"/>
      <c r="BP30" s="761"/>
      <c r="BQ30" s="761"/>
      <c r="BR30" s="761"/>
      <c r="BS30" s="761"/>
      <c r="BT30" s="761"/>
      <c r="BU30" s="761"/>
      <c r="BV30" s="761"/>
      <c r="BW30" s="761"/>
      <c r="BX30" s="761"/>
      <c r="BY30" s="761"/>
      <c r="BZ30" s="761"/>
      <c r="CA30" s="761"/>
      <c r="CB30" s="761"/>
      <c r="CC30" s="761"/>
      <c r="CD30" s="761"/>
      <c r="CE30" s="761"/>
    </row>
    <row r="31" spans="2:83" s="759" customFormat="1">
      <c r="B31" s="808">
        <f t="shared" si="1"/>
        <v>9</v>
      </c>
      <c r="D31" s="766" t="s">
        <v>715</v>
      </c>
      <c r="E31" s="1026" t="str">
        <f>_xll.GenericSql("SELECT INSTRUMENT FROM FIN.BONDS_LIST WHERE ISIN='"&amp;D31&amp;"'",FALSE)</f>
        <v>BTP 01-nov-2026 7.25%</v>
      </c>
      <c r="F31" s="1026"/>
      <c r="G31" s="1026"/>
      <c r="H31" s="823">
        <f>IF(VLOOKUP($D31,Bonds!$E$11:$AM$347,26,FALSE)*100-$H$21&gt;0,VLOOKUP($D31,Bonds!$E$11:$AM$347,26,FALSE)*100-$H$21,$H$21-VLOOKUP($D31,Bonds!$E$11:$AM$347,26,FALSE)*100)</f>
        <v>0.32200863612644315</v>
      </c>
      <c r="J31" s="823">
        <f t="shared" si="0"/>
        <v>-1.4991363873556873E-2</v>
      </c>
      <c r="M31" s="790">
        <v>0.33700000000000002</v>
      </c>
      <c r="N31" s="791">
        <v>0.32100000000000001</v>
      </c>
      <c r="O31" s="791">
        <v>0.33</v>
      </c>
      <c r="P31" s="791">
        <v>0.33154001099721686</v>
      </c>
      <c r="Q31" s="791">
        <v>0.33214153545694591</v>
      </c>
      <c r="R31" s="791">
        <v>0.32599107162976382</v>
      </c>
      <c r="S31" s="791">
        <v>0.33079946493346979</v>
      </c>
      <c r="T31" s="791">
        <v>0.32572496827763664</v>
      </c>
      <c r="U31" s="791">
        <v>0.31461484594759104</v>
      </c>
      <c r="V31" s="791">
        <v>0.3266125565150988</v>
      </c>
      <c r="W31" s="791">
        <v>0.323660120946065</v>
      </c>
      <c r="X31" s="791"/>
      <c r="Y31" s="791"/>
      <c r="Z31" s="791"/>
      <c r="AA31" s="791"/>
      <c r="AB31" s="791"/>
      <c r="AC31" s="791"/>
      <c r="AD31" s="791"/>
      <c r="AE31" s="791"/>
      <c r="AF31" s="791"/>
      <c r="AG31" s="791"/>
      <c r="AH31" s="791"/>
      <c r="AI31" s="791"/>
      <c r="AJ31" s="791"/>
      <c r="AK31" s="791"/>
      <c r="AL31" s="791"/>
      <c r="AM31" s="791"/>
      <c r="AN31" s="791"/>
      <c r="AO31" s="791"/>
      <c r="AP31" s="792"/>
      <c r="AU31" s="761"/>
      <c r="AV31" s="761"/>
      <c r="AW31" s="761"/>
      <c r="AX31" s="761"/>
      <c r="AY31" s="761"/>
      <c r="AZ31" s="761"/>
      <c r="BA31" s="761"/>
      <c r="BB31" s="761"/>
      <c r="BC31" s="761"/>
      <c r="BD31" s="761"/>
      <c r="BE31" s="761"/>
      <c r="BF31" s="761"/>
      <c r="BG31" s="761"/>
      <c r="BH31" s="761"/>
      <c r="BI31" s="761"/>
      <c r="BJ31" s="761"/>
      <c r="BK31" s="761"/>
      <c r="BL31" s="761"/>
      <c r="BM31" s="761"/>
      <c r="BN31" s="761"/>
      <c r="BO31" s="761"/>
      <c r="BP31" s="761"/>
      <c r="BQ31" s="761"/>
      <c r="BR31" s="761"/>
      <c r="BS31" s="761"/>
      <c r="BT31" s="761"/>
      <c r="BU31" s="761"/>
      <c r="BV31" s="761"/>
      <c r="BW31" s="761"/>
      <c r="BX31" s="761"/>
      <c r="BY31" s="761"/>
      <c r="BZ31" s="761"/>
      <c r="CA31" s="761"/>
      <c r="CB31" s="761"/>
      <c r="CC31" s="761"/>
      <c r="CD31" s="761"/>
      <c r="CE31" s="761"/>
    </row>
    <row r="32" spans="2:83" s="759" customFormat="1">
      <c r="B32" s="808">
        <f t="shared" si="1"/>
        <v>10</v>
      </c>
      <c r="D32" s="766" t="s">
        <v>872</v>
      </c>
      <c r="E32" s="1026" t="str">
        <f>_xll.GenericSql("SELECT INSTRUMENT FROM FIN.BONDS_LIST WHERE ISIN='"&amp;D32&amp;"'",FALSE)</f>
        <v>BTP 01-dec-26 1.25%</v>
      </c>
      <c r="F32" s="1026"/>
      <c r="G32" s="1026"/>
      <c r="H32" s="823">
        <f>IF(VLOOKUP($D32,Bonds!$E$11:$AM$347,26,FALSE)*100-$H$21&gt;0,VLOOKUP($D32,Bonds!$E$11:$AM$347,26,FALSE)*100-$H$21,$H$21-VLOOKUP($D32,Bonds!$E$11:$AM$347,26,FALSE)*100)</f>
        <v>0.29129810155312263</v>
      </c>
      <c r="J32" s="823">
        <f t="shared" si="0"/>
        <v>-2.7018984468773488E-3</v>
      </c>
      <c r="M32" s="790">
        <v>0.29399999999999998</v>
      </c>
      <c r="N32" s="791">
        <v>0.28799999999999998</v>
      </c>
      <c r="O32" s="791">
        <v>0.28999999999999998</v>
      </c>
      <c r="P32" s="791">
        <v>0.29327963536847523</v>
      </c>
      <c r="Q32" s="791">
        <v>0.29614805957900581</v>
      </c>
      <c r="R32" s="791">
        <v>0.30616212731704118</v>
      </c>
      <c r="S32" s="791">
        <v>0.31232185278584956</v>
      </c>
      <c r="T32" s="791">
        <v>0.30292239854503511</v>
      </c>
      <c r="U32" s="791">
        <v>0.2945625423608087</v>
      </c>
      <c r="V32" s="791">
        <v>0.29698992696684656</v>
      </c>
      <c r="W32" s="791">
        <v>0.29034281812829477</v>
      </c>
      <c r="X32" s="791"/>
      <c r="Y32" s="791"/>
      <c r="Z32" s="791"/>
      <c r="AA32" s="791"/>
      <c r="AB32" s="791"/>
      <c r="AC32" s="791"/>
      <c r="AD32" s="791"/>
      <c r="AE32" s="791"/>
      <c r="AF32" s="791"/>
      <c r="AG32" s="791"/>
      <c r="AH32" s="791"/>
      <c r="AI32" s="791"/>
      <c r="AJ32" s="791"/>
      <c r="AK32" s="791"/>
      <c r="AL32" s="791"/>
      <c r="AM32" s="791"/>
      <c r="AN32" s="791"/>
      <c r="AO32" s="791"/>
      <c r="AP32" s="792"/>
      <c r="AU32" s="761"/>
      <c r="AV32" s="761"/>
      <c r="AW32" s="761"/>
      <c r="AX32" s="761"/>
      <c r="AY32" s="761"/>
      <c r="AZ32" s="761"/>
      <c r="BA32" s="761"/>
      <c r="BB32" s="761"/>
      <c r="BC32" s="761"/>
      <c r="BD32" s="761"/>
      <c r="BE32" s="761"/>
      <c r="BF32" s="761"/>
      <c r="BG32" s="761"/>
      <c r="BH32" s="761"/>
      <c r="BI32" s="761"/>
      <c r="BJ32" s="761"/>
      <c r="BK32" s="761"/>
      <c r="BL32" s="761"/>
      <c r="BM32" s="761"/>
      <c r="BN32" s="761"/>
      <c r="BO32" s="761"/>
      <c r="BP32" s="761"/>
      <c r="BQ32" s="761"/>
      <c r="BR32" s="761"/>
      <c r="BS32" s="761"/>
      <c r="BT32" s="761"/>
      <c r="BU32" s="761"/>
      <c r="BV32" s="761"/>
      <c r="BW32" s="761"/>
      <c r="BX32" s="761"/>
      <c r="BY32" s="761"/>
      <c r="BZ32" s="761"/>
      <c r="CA32" s="761"/>
      <c r="CB32" s="761"/>
      <c r="CC32" s="761"/>
      <c r="CD32" s="761"/>
      <c r="CE32" s="761"/>
    </row>
    <row r="33" spans="1:16383" s="759" customFormat="1">
      <c r="B33" s="808">
        <f t="shared" si="1"/>
        <v>11</v>
      </c>
      <c r="D33" s="766" t="s">
        <v>900</v>
      </c>
      <c r="E33" s="1026" t="str">
        <f>_xll.GenericSql("SELECT INSTRUMENT FROM FIN.BONDS_LIST WHERE ISIN='"&amp;D33&amp;"'",FALSE)</f>
        <v>BTP 01-jun-27 2.2%</v>
      </c>
      <c r="F33" s="1026"/>
      <c r="G33" s="1026"/>
      <c r="H33" s="823">
        <f>IF(VLOOKUP($D33,Bonds!$E$11:$AM$347,26,FALSE)*100-$H$21&gt;0,VLOOKUP($D33,Bonds!$E$11:$AM$347,26,FALSE)*100-$H$21,$H$21-VLOOKUP($D33,Bonds!$E$11:$AM$347,26,FALSE)*100)</f>
        <v>0.18574172114246212</v>
      </c>
      <c r="J33" s="823">
        <f t="shared" si="0"/>
        <v>-2.5827885753787472E-4</v>
      </c>
      <c r="M33" s="790">
        <v>0.186</v>
      </c>
      <c r="N33" s="791">
        <v>0.184</v>
      </c>
      <c r="O33" s="791">
        <v>0.19</v>
      </c>
      <c r="P33" s="791">
        <v>0.18949322482592357</v>
      </c>
      <c r="Q33" s="791">
        <v>0.18899862057601791</v>
      </c>
      <c r="R33" s="791">
        <v>0.19376707947948257</v>
      </c>
      <c r="S33" s="791">
        <v>0.19612013358050961</v>
      </c>
      <c r="T33" s="791">
        <v>0.19341236248361326</v>
      </c>
      <c r="U33" s="791">
        <v>0.18222119093748024</v>
      </c>
      <c r="V33" s="791">
        <v>0.18187332948986534</v>
      </c>
      <c r="W33" s="791">
        <v>0.18509723081132212</v>
      </c>
      <c r="X33" s="791"/>
      <c r="Y33" s="791"/>
      <c r="Z33" s="791"/>
      <c r="AA33" s="791"/>
      <c r="AB33" s="791"/>
      <c r="AC33" s="791"/>
      <c r="AD33" s="791"/>
      <c r="AE33" s="791"/>
      <c r="AF33" s="791"/>
      <c r="AG33" s="791"/>
      <c r="AH33" s="791"/>
      <c r="AI33" s="791"/>
      <c r="AJ33" s="791"/>
      <c r="AK33" s="791"/>
      <c r="AL33" s="791"/>
      <c r="AM33" s="791"/>
      <c r="AN33" s="791"/>
      <c r="AO33" s="791"/>
      <c r="AP33" s="792"/>
      <c r="AU33" s="761"/>
      <c r="AV33" s="761"/>
      <c r="AW33" s="761"/>
      <c r="AX33" s="761"/>
      <c r="AY33" s="761"/>
      <c r="AZ33" s="761"/>
      <c r="BA33" s="761"/>
      <c r="BB33" s="761"/>
      <c r="BC33" s="761"/>
      <c r="BD33" s="761"/>
      <c r="BE33" s="761"/>
      <c r="BF33" s="761"/>
      <c r="BG33" s="761"/>
      <c r="BH33" s="761"/>
      <c r="BI33" s="761"/>
      <c r="BJ33" s="761"/>
      <c r="BK33" s="761"/>
      <c r="BL33" s="761"/>
      <c r="BM33" s="761"/>
      <c r="BN33" s="761"/>
      <c r="BO33" s="761"/>
      <c r="BP33" s="761"/>
      <c r="BQ33" s="761"/>
      <c r="BR33" s="761"/>
      <c r="BS33" s="761"/>
      <c r="BT33" s="761"/>
      <c r="BU33" s="761"/>
      <c r="BV33" s="761"/>
      <c r="BW33" s="761"/>
      <c r="BX33" s="761"/>
      <c r="BY33" s="761"/>
      <c r="BZ33" s="761"/>
      <c r="CA33" s="761"/>
      <c r="CB33" s="761"/>
      <c r="CC33" s="761"/>
      <c r="CD33" s="761"/>
      <c r="CE33" s="761"/>
    </row>
    <row r="34" spans="1:16383" s="759" customFormat="1">
      <c r="B34" s="808">
        <f t="shared" si="1"/>
        <v>12</v>
      </c>
      <c r="D34" s="766" t="s">
        <v>982</v>
      </c>
      <c r="E34" s="1026" t="str">
        <f>_xll.GenericSql("SELECT INSTRUMENT FROM FIN.BONDS_LIST WHERE ISIN='"&amp;D34&amp;"'",FALSE)</f>
        <v>BTP 01-aug-27 2.05%</v>
      </c>
      <c r="F34" s="1026"/>
      <c r="G34" s="1026"/>
      <c r="H34" s="823">
        <f>IF(VLOOKUP($D34,Bonds!$E$11:$AM$347,26,FALSE)*100-$H$21&gt;0,VLOOKUP($D34,Bonds!$E$11:$AM$347,26,FALSE)*100-$H$21,$H$21-VLOOKUP($D34,Bonds!$E$11:$AM$347,26,FALSE)*100)</f>
        <v>0.15336269759436405</v>
      </c>
      <c r="J34" s="823">
        <f t="shared" si="0"/>
        <v>5.3626975943640576E-3</v>
      </c>
      <c r="M34" s="790">
        <v>0.14799999999999999</v>
      </c>
      <c r="N34" s="791">
        <v>0.151</v>
      </c>
      <c r="O34" s="791">
        <v>0.15</v>
      </c>
      <c r="P34" s="791">
        <v>0.15366254078316732</v>
      </c>
      <c r="Q34" s="791">
        <v>0.15421450605542519</v>
      </c>
      <c r="R34" s="791">
        <v>0.16169619300301474</v>
      </c>
      <c r="S34" s="791">
        <v>0.16276068873405891</v>
      </c>
      <c r="T34" s="791">
        <v>0.15858852640356358</v>
      </c>
      <c r="U34" s="791">
        <v>0.15093009214761088</v>
      </c>
      <c r="V34" s="791">
        <v>0.15227313932239506</v>
      </c>
      <c r="W34" s="791">
        <v>0.15214490120961921</v>
      </c>
      <c r="X34" s="791"/>
      <c r="Y34" s="791"/>
      <c r="Z34" s="791"/>
      <c r="AA34" s="791"/>
      <c r="AB34" s="791"/>
      <c r="AC34" s="791"/>
      <c r="AD34" s="791"/>
      <c r="AE34" s="791"/>
      <c r="AF34" s="791"/>
      <c r="AG34" s="791"/>
      <c r="AH34" s="791"/>
      <c r="AI34" s="791"/>
      <c r="AJ34" s="791"/>
      <c r="AK34" s="791"/>
      <c r="AL34" s="791"/>
      <c r="AM34" s="791"/>
      <c r="AN34" s="791"/>
      <c r="AO34" s="791"/>
      <c r="AP34" s="792"/>
      <c r="AU34" s="761"/>
      <c r="AV34" s="761"/>
      <c r="AW34" s="761"/>
      <c r="AX34" s="761"/>
      <c r="AY34" s="761"/>
      <c r="AZ34" s="761"/>
      <c r="BA34" s="761"/>
      <c r="BB34" s="761"/>
      <c r="BC34" s="761"/>
      <c r="BD34" s="761"/>
      <c r="BE34" s="761"/>
      <c r="BF34" s="761"/>
      <c r="BG34" s="761"/>
      <c r="BH34" s="761"/>
      <c r="BI34" s="761"/>
      <c r="BJ34" s="761"/>
      <c r="BK34" s="761"/>
      <c r="BL34" s="761"/>
      <c r="BM34" s="761"/>
      <c r="BN34" s="761"/>
      <c r="BO34" s="761"/>
      <c r="BP34" s="761"/>
      <c r="BQ34" s="761"/>
      <c r="BR34" s="761"/>
      <c r="BS34" s="761"/>
      <c r="BT34" s="761"/>
      <c r="BU34" s="761"/>
      <c r="BV34" s="761"/>
      <c r="BW34" s="761"/>
      <c r="BX34" s="761"/>
      <c r="BY34" s="761"/>
      <c r="BZ34" s="761"/>
      <c r="CA34" s="761"/>
      <c r="CB34" s="761"/>
      <c r="CC34" s="761"/>
      <c r="CD34" s="761"/>
      <c r="CE34" s="761"/>
    </row>
    <row r="35" spans="1:16383" s="759" customFormat="1">
      <c r="B35" s="808">
        <f t="shared" si="1"/>
        <v>13</v>
      </c>
      <c r="D35" s="766" t="s">
        <v>716</v>
      </c>
      <c r="E35" s="1026" t="str">
        <f>_xll.GenericSql("SELECT INSTRUMENT FROM FIN.BONDS_LIST WHERE ISIN='"&amp;D35&amp;"'",FALSE)</f>
        <v>BTP 01-nov-2027 6.50%</v>
      </c>
      <c r="F35" s="1026"/>
      <c r="G35" s="1026"/>
      <c r="H35" s="823">
        <f>IF(VLOOKUP($D35,Bonds!$E$11:$AM$347,26,FALSE)*100-$H$21&gt;0,VLOOKUP($D35,Bonds!$E$11:$AM$347,26,FALSE)*100-$H$21,$H$21-VLOOKUP($D35,Bonds!$E$11:$AM$347,26,FALSE)*100)</f>
        <v>0.17271864155191929</v>
      </c>
      <c r="J35" s="823">
        <f t="shared" si="0"/>
        <v>3.7186415519192828E-3</v>
      </c>
      <c r="M35" s="790">
        <v>0.16900000000000001</v>
      </c>
      <c r="N35" s="791">
        <v>0.16500000000000001</v>
      </c>
      <c r="O35" s="791">
        <v>0.17</v>
      </c>
      <c r="P35" s="791">
        <v>0.16948495442526634</v>
      </c>
      <c r="Q35" s="791">
        <v>0.17312959182386733</v>
      </c>
      <c r="R35" s="791">
        <v>0.17116140713974937</v>
      </c>
      <c r="S35" s="791">
        <v>0.17201922162516015</v>
      </c>
      <c r="T35" s="791">
        <v>0.1693730456103415</v>
      </c>
      <c r="U35" s="791">
        <v>0.16464032607905543</v>
      </c>
      <c r="V35" s="791">
        <v>0.16457657432809025</v>
      </c>
      <c r="W35" s="791">
        <v>0.17036196102286372</v>
      </c>
      <c r="X35" s="791"/>
      <c r="Y35" s="791"/>
      <c r="Z35" s="791"/>
      <c r="AA35" s="791"/>
      <c r="AB35" s="791"/>
      <c r="AC35" s="791"/>
      <c r="AD35" s="791"/>
      <c r="AE35" s="791"/>
      <c r="AF35" s="791"/>
      <c r="AG35" s="791"/>
      <c r="AH35" s="791"/>
      <c r="AI35" s="791"/>
      <c r="AJ35" s="791"/>
      <c r="AK35" s="791"/>
      <c r="AL35" s="791"/>
      <c r="AM35" s="791"/>
      <c r="AN35" s="791"/>
      <c r="AO35" s="791"/>
      <c r="AP35" s="792"/>
      <c r="AU35" s="761"/>
      <c r="AV35" s="761"/>
      <c r="AW35" s="761"/>
      <c r="AX35" s="761"/>
      <c r="AY35" s="761"/>
      <c r="AZ35" s="761"/>
      <c r="BA35" s="761"/>
      <c r="BB35" s="761"/>
      <c r="BC35" s="761"/>
      <c r="BD35" s="761"/>
      <c r="BE35" s="761"/>
      <c r="BF35" s="761"/>
      <c r="BG35" s="761"/>
      <c r="BH35" s="761"/>
      <c r="BI35" s="761"/>
      <c r="BJ35" s="761"/>
      <c r="BK35" s="761"/>
      <c r="BL35" s="761"/>
      <c r="BM35" s="761"/>
      <c r="BN35" s="761"/>
      <c r="BO35" s="761"/>
      <c r="BP35" s="761"/>
      <c r="BQ35" s="761"/>
      <c r="BR35" s="761"/>
      <c r="BS35" s="761"/>
      <c r="BT35" s="761"/>
      <c r="BU35" s="761"/>
      <c r="BV35" s="761"/>
      <c r="BW35" s="761"/>
      <c r="BX35" s="761"/>
      <c r="BY35" s="761"/>
      <c r="BZ35" s="761"/>
      <c r="CA35" s="761"/>
      <c r="CB35" s="761"/>
      <c r="CC35" s="761"/>
      <c r="CD35" s="761"/>
      <c r="CE35" s="761"/>
    </row>
    <row r="36" spans="1:16383" s="759" customFormat="1">
      <c r="B36" s="808">
        <f t="shared" si="1"/>
        <v>14</v>
      </c>
      <c r="D36" s="766" t="s">
        <v>1713</v>
      </c>
      <c r="E36" s="1026" t="str">
        <f>_xll.GenericSql("SELECT INSTRUMENT FROM FIN.BONDS_LIST WHERE ISIN='"&amp;D36&amp;"'",FALSE)</f>
        <v>BTP 01-feb-28 2%</v>
      </c>
      <c r="F36" s="1026"/>
      <c r="G36" s="1026"/>
      <c r="H36" s="823">
        <f>IF(VLOOKUP($D36,Bonds!$E$11:$AM$347,26,FALSE)*100-$H$21&gt;0,VLOOKUP($D36,Bonds!$E$11:$AM$347,26,FALSE)*100-$H$21,$H$21-VLOOKUP($D36,Bonds!$E$11:$AM$347,26,FALSE)*100)</f>
        <v>6.7143771285959053E-2</v>
      </c>
      <c r="J36" s="823">
        <f t="shared" si="0"/>
        <v>1.3143771285959054E-2</v>
      </c>
      <c r="M36" s="790">
        <v>5.3999999999999999E-2</v>
      </c>
      <c r="N36" s="791">
        <v>5.3999999999999999E-2</v>
      </c>
      <c r="O36" s="791">
        <v>0.06</v>
      </c>
      <c r="P36" s="791">
        <v>6.6309754853222991E-2</v>
      </c>
      <c r="Q36" s="791">
        <v>6.4678635082757729E-2</v>
      </c>
      <c r="R36" s="791">
        <v>7.3050272439185271E-2</v>
      </c>
      <c r="S36" s="791">
        <v>7.2655407941474959E-2</v>
      </c>
      <c r="T36" s="791">
        <v>6.8926664777513746E-2</v>
      </c>
      <c r="U36" s="791">
        <v>6.4483896854899303E-2</v>
      </c>
      <c r="V36" s="791">
        <v>6.3790281182180886E-2</v>
      </c>
      <c r="W36" s="791">
        <v>6.7543746965100793E-2</v>
      </c>
      <c r="X36" s="791"/>
      <c r="Y36" s="791"/>
      <c r="Z36" s="791"/>
      <c r="AA36" s="791"/>
      <c r="AB36" s="791"/>
      <c r="AC36" s="791"/>
      <c r="AD36" s="791"/>
      <c r="AE36" s="791"/>
      <c r="AF36" s="791"/>
      <c r="AG36" s="791"/>
      <c r="AH36" s="791"/>
      <c r="AI36" s="791"/>
      <c r="AJ36" s="791"/>
      <c r="AK36" s="791"/>
      <c r="AL36" s="791"/>
      <c r="AM36" s="791"/>
      <c r="AN36" s="791"/>
      <c r="AO36" s="791"/>
      <c r="AP36" s="792"/>
      <c r="AU36" s="761"/>
      <c r="AV36" s="761"/>
      <c r="AW36" s="761"/>
      <c r="AX36" s="761"/>
      <c r="AY36" s="761"/>
      <c r="AZ36" s="761"/>
      <c r="BA36" s="761"/>
      <c r="BB36" s="761"/>
      <c r="BC36" s="761"/>
      <c r="BD36" s="761"/>
      <c r="BE36" s="761"/>
      <c r="BF36" s="761"/>
      <c r="BG36" s="761"/>
      <c r="BH36" s="761"/>
      <c r="BI36" s="761"/>
      <c r="BJ36" s="761"/>
      <c r="BK36" s="761"/>
      <c r="BL36" s="761"/>
      <c r="BM36" s="761"/>
      <c r="BN36" s="761"/>
      <c r="BO36" s="761"/>
      <c r="BP36" s="761"/>
      <c r="BQ36" s="761"/>
      <c r="BR36" s="761"/>
      <c r="BS36" s="761"/>
      <c r="BT36" s="761"/>
      <c r="BU36" s="761"/>
      <c r="BV36" s="761"/>
      <c r="BW36" s="761"/>
      <c r="BX36" s="761"/>
      <c r="BY36" s="761"/>
      <c r="BZ36" s="761"/>
      <c r="CA36" s="761"/>
      <c r="CB36" s="761"/>
      <c r="CC36" s="761"/>
      <c r="CD36" s="761"/>
      <c r="CE36" s="761"/>
    </row>
    <row r="37" spans="1:16383" s="798" customFormat="1">
      <c r="A37" s="759"/>
      <c r="B37" s="808">
        <f t="shared" si="1"/>
        <v>15</v>
      </c>
      <c r="C37" s="797" t="s">
        <v>1735</v>
      </c>
      <c r="D37" s="796" t="s">
        <v>717</v>
      </c>
      <c r="E37" s="1027" t="str">
        <f>_xll.GenericSql("SELECT INSTRUMENT FROM FIN.BONDS_LIST WHERE ISIN='"&amp;D37&amp;"'",FALSE)</f>
        <v>BTP 01-sep-28 4.75%</v>
      </c>
      <c r="F37" s="1027"/>
      <c r="G37" s="1027"/>
      <c r="H37" s="824">
        <f>IF(VLOOKUP($D37,Bonds!$E$11:$AM$347,26,FALSE)*100-$H$21&gt;0,VLOOKUP($D37,Bonds!$E$11:$AM$347,26,FALSE)*100-$H$21,$H$21-VLOOKUP($D37,Bonds!$E$11:$AM$347,26,FALSE)*100)</f>
        <v>0</v>
      </c>
      <c r="J37" s="823">
        <f t="shared" si="0"/>
        <v>0</v>
      </c>
      <c r="K37" s="759"/>
      <c r="L37" s="759"/>
      <c r="M37" s="799">
        <v>0</v>
      </c>
      <c r="N37" s="800">
        <v>0</v>
      </c>
      <c r="O37" s="800">
        <v>0</v>
      </c>
      <c r="P37" s="800">
        <v>0</v>
      </c>
      <c r="Q37" s="800">
        <v>0</v>
      </c>
      <c r="R37" s="800">
        <v>0</v>
      </c>
      <c r="S37" s="800">
        <v>0</v>
      </c>
      <c r="T37" s="800">
        <v>0</v>
      </c>
      <c r="U37" s="800">
        <v>0</v>
      </c>
      <c r="V37" s="800">
        <v>0</v>
      </c>
      <c r="W37" s="800">
        <v>0</v>
      </c>
      <c r="X37" s="800"/>
      <c r="Y37" s="800"/>
      <c r="Z37" s="800"/>
      <c r="AA37" s="800"/>
      <c r="AB37" s="800"/>
      <c r="AC37" s="800"/>
      <c r="AD37" s="800"/>
      <c r="AE37" s="800"/>
      <c r="AF37" s="800"/>
      <c r="AG37" s="800"/>
      <c r="AH37" s="800"/>
      <c r="AI37" s="800"/>
      <c r="AJ37" s="800"/>
      <c r="AK37" s="800"/>
      <c r="AL37" s="800"/>
      <c r="AM37" s="800"/>
      <c r="AN37" s="800"/>
      <c r="AO37" s="800"/>
      <c r="AP37" s="801"/>
      <c r="AQ37" s="759"/>
      <c r="AR37" s="759"/>
      <c r="AS37" s="759"/>
      <c r="AT37" s="759"/>
      <c r="AU37" s="761"/>
      <c r="AV37" s="761"/>
      <c r="AW37" s="761"/>
      <c r="AX37" s="761"/>
      <c r="AY37" s="761"/>
      <c r="AZ37" s="761"/>
      <c r="BA37" s="761"/>
      <c r="BB37" s="761"/>
      <c r="BC37" s="761"/>
      <c r="BD37" s="761"/>
      <c r="BE37" s="761"/>
      <c r="BF37" s="761"/>
      <c r="BG37" s="761"/>
      <c r="BH37" s="761"/>
      <c r="BI37" s="761"/>
      <c r="BJ37" s="761"/>
      <c r="BK37" s="761"/>
      <c r="BL37" s="761"/>
      <c r="BM37" s="761"/>
      <c r="BN37" s="761"/>
      <c r="BO37" s="761"/>
      <c r="BP37" s="761"/>
      <c r="BQ37" s="761"/>
      <c r="BR37" s="761"/>
      <c r="BS37" s="761"/>
      <c r="BT37" s="761"/>
      <c r="BU37" s="761"/>
      <c r="BV37" s="761"/>
      <c r="BW37" s="761"/>
      <c r="BX37" s="761"/>
      <c r="BY37" s="761"/>
      <c r="BZ37" s="761"/>
      <c r="CA37" s="761"/>
      <c r="CB37" s="761"/>
      <c r="CC37" s="761"/>
      <c r="CD37" s="761"/>
      <c r="CE37" s="761"/>
      <c r="CF37" s="759"/>
      <c r="CG37" s="759"/>
      <c r="CH37" s="759"/>
      <c r="CI37" s="759"/>
      <c r="CJ37" s="759"/>
      <c r="CK37" s="759"/>
      <c r="CL37" s="759"/>
      <c r="CM37" s="759"/>
      <c r="CN37" s="759"/>
      <c r="CO37" s="759"/>
      <c r="CP37" s="759"/>
      <c r="CQ37" s="759"/>
      <c r="CR37" s="759"/>
      <c r="CS37" s="759"/>
      <c r="CT37" s="759"/>
      <c r="CU37" s="759"/>
      <c r="CV37" s="759"/>
      <c r="CW37" s="759"/>
      <c r="CX37" s="759"/>
      <c r="CY37" s="759"/>
      <c r="CZ37" s="759"/>
      <c r="DA37" s="759"/>
      <c r="DB37" s="759"/>
      <c r="DC37" s="759"/>
      <c r="DD37" s="759"/>
      <c r="DE37" s="759"/>
      <c r="DF37" s="759"/>
      <c r="DG37" s="759"/>
      <c r="DH37" s="759"/>
      <c r="DI37" s="759"/>
      <c r="DJ37" s="759"/>
      <c r="DK37" s="759"/>
      <c r="DL37" s="759"/>
      <c r="DM37" s="759"/>
      <c r="DN37" s="759"/>
      <c r="DO37" s="759"/>
      <c r="DP37" s="759"/>
      <c r="DQ37" s="759"/>
      <c r="DR37" s="759"/>
      <c r="DS37" s="759"/>
      <c r="DT37" s="759"/>
      <c r="DU37" s="759"/>
      <c r="DV37" s="759"/>
      <c r="DW37" s="759"/>
      <c r="DX37" s="759"/>
      <c r="DY37" s="759"/>
      <c r="DZ37" s="759"/>
      <c r="EA37" s="759"/>
      <c r="EB37" s="759"/>
      <c r="EC37" s="759"/>
      <c r="ED37" s="759"/>
      <c r="EE37" s="759"/>
      <c r="EF37" s="759"/>
      <c r="EG37" s="759"/>
      <c r="EH37" s="759"/>
      <c r="EI37" s="759"/>
      <c r="EJ37" s="759"/>
      <c r="EK37" s="759"/>
      <c r="EL37" s="759"/>
      <c r="EM37" s="759"/>
      <c r="EN37" s="759"/>
      <c r="EO37" s="759"/>
      <c r="EP37" s="759"/>
      <c r="EQ37" s="759"/>
      <c r="ER37" s="759"/>
      <c r="ES37" s="759"/>
      <c r="ET37" s="759"/>
      <c r="EU37" s="759"/>
      <c r="EV37" s="759"/>
      <c r="EW37" s="759"/>
      <c r="EX37" s="759"/>
      <c r="EY37" s="759"/>
      <c r="EZ37" s="759"/>
      <c r="FA37" s="759"/>
      <c r="FB37" s="759"/>
      <c r="FC37" s="759"/>
      <c r="FD37" s="759"/>
      <c r="FE37" s="759"/>
      <c r="FF37" s="759"/>
      <c r="FG37" s="759"/>
      <c r="FH37" s="759"/>
      <c r="FI37" s="759"/>
      <c r="FJ37" s="759"/>
      <c r="FK37" s="759"/>
      <c r="FL37" s="759"/>
      <c r="FM37" s="759"/>
      <c r="FN37" s="759"/>
      <c r="FO37" s="759"/>
      <c r="FP37" s="759"/>
      <c r="FQ37" s="759"/>
      <c r="FR37" s="759"/>
      <c r="FS37" s="759"/>
      <c r="FT37" s="759"/>
      <c r="FU37" s="759"/>
      <c r="FV37" s="759"/>
      <c r="FW37" s="759"/>
      <c r="FX37" s="759"/>
      <c r="FY37" s="759"/>
      <c r="FZ37" s="759"/>
      <c r="GA37" s="759"/>
      <c r="GB37" s="759"/>
      <c r="GC37" s="759"/>
      <c r="GD37" s="759"/>
      <c r="GE37" s="759"/>
      <c r="GF37" s="759"/>
      <c r="GG37" s="759"/>
      <c r="GH37" s="759"/>
      <c r="GI37" s="759"/>
      <c r="GJ37" s="759"/>
      <c r="GK37" s="759"/>
      <c r="GL37" s="759"/>
      <c r="GM37" s="759"/>
      <c r="GN37" s="759"/>
      <c r="GO37" s="759"/>
      <c r="GP37" s="759"/>
      <c r="GQ37" s="759"/>
      <c r="GR37" s="759"/>
      <c r="GS37" s="759"/>
      <c r="GT37" s="759"/>
      <c r="GU37" s="759"/>
      <c r="GV37" s="759"/>
      <c r="GW37" s="759"/>
      <c r="GX37" s="759"/>
      <c r="GY37" s="759"/>
      <c r="GZ37" s="759"/>
      <c r="HA37" s="759"/>
      <c r="HB37" s="759"/>
      <c r="HC37" s="759"/>
      <c r="HD37" s="759"/>
      <c r="HE37" s="759"/>
      <c r="HF37" s="759"/>
      <c r="HG37" s="759"/>
      <c r="HH37" s="759"/>
      <c r="HI37" s="759"/>
      <c r="HJ37" s="759"/>
      <c r="HK37" s="759"/>
      <c r="HL37" s="759"/>
      <c r="HM37" s="759"/>
      <c r="HN37" s="759"/>
      <c r="HO37" s="759"/>
      <c r="HP37" s="759"/>
      <c r="HQ37" s="759"/>
      <c r="HR37" s="759"/>
      <c r="HS37" s="759"/>
      <c r="HT37" s="759"/>
      <c r="HU37" s="759"/>
      <c r="HV37" s="759"/>
      <c r="HW37" s="759"/>
      <c r="HX37" s="759"/>
      <c r="HY37" s="759"/>
      <c r="HZ37" s="759"/>
      <c r="IA37" s="759"/>
      <c r="IB37" s="759"/>
      <c r="IC37" s="759"/>
      <c r="ID37" s="759"/>
      <c r="IE37" s="759"/>
      <c r="IF37" s="759"/>
      <c r="IG37" s="759"/>
      <c r="IH37" s="759"/>
      <c r="II37" s="759"/>
      <c r="IJ37" s="759"/>
      <c r="IK37" s="759"/>
      <c r="IL37" s="759"/>
      <c r="IM37" s="759"/>
      <c r="IN37" s="759"/>
      <c r="IO37" s="759"/>
      <c r="IP37" s="759"/>
      <c r="IQ37" s="759"/>
      <c r="IR37" s="759"/>
      <c r="IS37" s="759"/>
      <c r="IT37" s="759"/>
      <c r="IU37" s="759"/>
      <c r="IV37" s="759"/>
      <c r="IW37" s="759"/>
      <c r="IX37" s="759"/>
      <c r="IY37" s="759"/>
      <c r="IZ37" s="759"/>
      <c r="JA37" s="759"/>
      <c r="JB37" s="759"/>
      <c r="JC37" s="759"/>
      <c r="JD37" s="759"/>
      <c r="JE37" s="759"/>
      <c r="JF37" s="759"/>
      <c r="JG37" s="759"/>
      <c r="JH37" s="759"/>
      <c r="JI37" s="759"/>
      <c r="JJ37" s="759"/>
      <c r="JK37" s="759"/>
      <c r="JL37" s="759"/>
      <c r="JM37" s="759"/>
      <c r="JN37" s="759"/>
      <c r="JO37" s="759"/>
      <c r="JP37" s="759"/>
      <c r="JQ37" s="759"/>
      <c r="JR37" s="759"/>
      <c r="JS37" s="759"/>
      <c r="JT37" s="759"/>
      <c r="JU37" s="759"/>
      <c r="JV37" s="759"/>
      <c r="JW37" s="759"/>
      <c r="JX37" s="759"/>
      <c r="JY37" s="759"/>
      <c r="JZ37" s="759"/>
      <c r="KA37" s="759"/>
      <c r="KB37" s="759"/>
      <c r="KC37" s="759"/>
      <c r="KD37" s="759"/>
      <c r="KE37" s="759"/>
      <c r="KF37" s="759"/>
      <c r="KG37" s="759"/>
      <c r="KH37" s="759"/>
      <c r="KI37" s="759"/>
      <c r="KJ37" s="759"/>
      <c r="KK37" s="759"/>
      <c r="KL37" s="759"/>
      <c r="KM37" s="759"/>
      <c r="KN37" s="759"/>
      <c r="KO37" s="759"/>
      <c r="KP37" s="759"/>
      <c r="KQ37" s="759"/>
      <c r="KR37" s="759"/>
      <c r="KS37" s="759"/>
      <c r="KT37" s="759"/>
      <c r="KU37" s="759"/>
      <c r="KV37" s="759"/>
      <c r="KW37" s="759"/>
      <c r="KX37" s="759"/>
      <c r="KY37" s="759"/>
      <c r="KZ37" s="759"/>
      <c r="LA37" s="759"/>
      <c r="LB37" s="759"/>
      <c r="LC37" s="759"/>
      <c r="LD37" s="759"/>
      <c r="LE37" s="759"/>
      <c r="LF37" s="759"/>
      <c r="LG37" s="759"/>
      <c r="LH37" s="759"/>
      <c r="LI37" s="759"/>
      <c r="LJ37" s="759"/>
      <c r="LK37" s="759"/>
      <c r="LL37" s="759"/>
      <c r="LM37" s="759"/>
      <c r="LN37" s="759"/>
      <c r="LO37" s="759"/>
      <c r="LP37" s="759"/>
      <c r="LQ37" s="759"/>
      <c r="LR37" s="759"/>
      <c r="LS37" s="759"/>
      <c r="LT37" s="759"/>
      <c r="LU37" s="759"/>
      <c r="LV37" s="759"/>
      <c r="LW37" s="759"/>
      <c r="LX37" s="759"/>
      <c r="LY37" s="759"/>
      <c r="LZ37" s="759"/>
      <c r="MA37" s="759"/>
      <c r="MB37" s="759"/>
      <c r="MC37" s="759"/>
      <c r="MD37" s="759"/>
      <c r="ME37" s="759"/>
      <c r="MF37" s="759"/>
      <c r="MG37" s="759"/>
      <c r="MH37" s="759"/>
      <c r="MI37" s="759"/>
      <c r="MJ37" s="759"/>
      <c r="MK37" s="759"/>
      <c r="ML37" s="759"/>
      <c r="MM37" s="759"/>
      <c r="MN37" s="759"/>
      <c r="MO37" s="759"/>
      <c r="MP37" s="759"/>
      <c r="MQ37" s="759"/>
      <c r="MR37" s="759"/>
      <c r="MS37" s="759"/>
      <c r="MT37" s="759"/>
      <c r="MU37" s="759"/>
      <c r="MV37" s="759"/>
      <c r="MW37" s="759"/>
      <c r="MX37" s="759"/>
      <c r="MY37" s="759"/>
      <c r="MZ37" s="759"/>
      <c r="NA37" s="759"/>
      <c r="NB37" s="759"/>
      <c r="NC37" s="759"/>
      <c r="ND37" s="759"/>
      <c r="NE37" s="759"/>
      <c r="NF37" s="759"/>
      <c r="NG37" s="759"/>
      <c r="NH37" s="759"/>
      <c r="NI37" s="759"/>
      <c r="NJ37" s="759"/>
      <c r="NK37" s="759"/>
      <c r="NL37" s="759"/>
      <c r="NM37" s="759"/>
      <c r="NN37" s="759"/>
      <c r="NO37" s="759"/>
      <c r="NP37" s="759"/>
      <c r="NQ37" s="759"/>
      <c r="NR37" s="759"/>
      <c r="NS37" s="759"/>
      <c r="NT37" s="759"/>
      <c r="NU37" s="759"/>
      <c r="NV37" s="759"/>
      <c r="NW37" s="759"/>
      <c r="NX37" s="759"/>
      <c r="NY37" s="759"/>
      <c r="NZ37" s="759"/>
      <c r="OA37" s="759"/>
      <c r="OB37" s="759"/>
      <c r="OC37" s="759"/>
      <c r="OD37" s="759"/>
      <c r="OE37" s="759"/>
      <c r="OF37" s="759"/>
      <c r="OG37" s="759"/>
      <c r="OH37" s="759"/>
      <c r="OI37" s="759"/>
      <c r="OJ37" s="759"/>
      <c r="OK37" s="759"/>
      <c r="OL37" s="759"/>
      <c r="OM37" s="759"/>
      <c r="ON37" s="759"/>
      <c r="OO37" s="759"/>
      <c r="OP37" s="759"/>
      <c r="OQ37" s="759"/>
      <c r="OR37" s="759"/>
      <c r="OS37" s="759"/>
      <c r="OT37" s="759"/>
      <c r="OU37" s="759"/>
      <c r="OV37" s="759"/>
      <c r="OW37" s="759"/>
      <c r="OX37" s="759"/>
      <c r="OY37" s="759"/>
      <c r="OZ37" s="759"/>
      <c r="PA37" s="759"/>
      <c r="PB37" s="759"/>
      <c r="PC37" s="759"/>
      <c r="PD37" s="759"/>
      <c r="PE37" s="759"/>
      <c r="PF37" s="759"/>
      <c r="PG37" s="759"/>
      <c r="PH37" s="759"/>
      <c r="PI37" s="759"/>
      <c r="PJ37" s="759"/>
      <c r="PK37" s="759"/>
      <c r="PL37" s="759"/>
      <c r="PM37" s="759"/>
      <c r="PN37" s="759"/>
      <c r="PO37" s="759"/>
      <c r="PP37" s="759"/>
      <c r="PQ37" s="759"/>
      <c r="PR37" s="759"/>
      <c r="PS37" s="759"/>
      <c r="PT37" s="759"/>
      <c r="PU37" s="759"/>
      <c r="PV37" s="759"/>
      <c r="PW37" s="759"/>
      <c r="PX37" s="759"/>
      <c r="PY37" s="759"/>
      <c r="PZ37" s="759"/>
      <c r="QA37" s="759"/>
      <c r="QB37" s="759"/>
      <c r="QC37" s="759"/>
      <c r="QD37" s="759"/>
      <c r="QE37" s="759"/>
      <c r="QF37" s="759"/>
      <c r="QG37" s="759"/>
      <c r="QH37" s="759"/>
      <c r="QI37" s="759"/>
      <c r="QJ37" s="759"/>
      <c r="QK37" s="759"/>
      <c r="QL37" s="759"/>
      <c r="QM37" s="759"/>
      <c r="QN37" s="759"/>
      <c r="QO37" s="759"/>
      <c r="QP37" s="759"/>
      <c r="QQ37" s="759"/>
      <c r="QR37" s="759"/>
      <c r="QS37" s="759"/>
      <c r="QT37" s="759"/>
      <c r="QU37" s="759"/>
      <c r="QV37" s="759"/>
      <c r="QW37" s="759"/>
      <c r="QX37" s="759"/>
      <c r="QY37" s="759"/>
      <c r="QZ37" s="759"/>
      <c r="RA37" s="759"/>
      <c r="RB37" s="759"/>
      <c r="RC37" s="759"/>
      <c r="RD37" s="759"/>
      <c r="RE37" s="759"/>
      <c r="RF37" s="759"/>
      <c r="RG37" s="759"/>
      <c r="RH37" s="759"/>
      <c r="RI37" s="759"/>
      <c r="RJ37" s="759"/>
      <c r="RK37" s="759"/>
      <c r="RL37" s="759"/>
      <c r="RM37" s="759"/>
      <c r="RN37" s="759"/>
      <c r="RO37" s="759"/>
      <c r="RP37" s="759"/>
      <c r="RQ37" s="759"/>
      <c r="RR37" s="759"/>
      <c r="RS37" s="759"/>
      <c r="RT37" s="759"/>
      <c r="RU37" s="759"/>
      <c r="RV37" s="759"/>
      <c r="RW37" s="759"/>
      <c r="RX37" s="759"/>
      <c r="RY37" s="759"/>
      <c r="RZ37" s="759"/>
      <c r="SA37" s="759"/>
      <c r="SB37" s="759"/>
      <c r="SC37" s="759"/>
      <c r="SD37" s="759"/>
      <c r="SE37" s="759"/>
      <c r="SF37" s="759"/>
      <c r="SG37" s="759"/>
      <c r="SH37" s="759"/>
      <c r="SI37" s="759"/>
      <c r="SJ37" s="759"/>
      <c r="SK37" s="759"/>
      <c r="SL37" s="759"/>
      <c r="SM37" s="759"/>
      <c r="SN37" s="759"/>
      <c r="SO37" s="759"/>
      <c r="SP37" s="759"/>
      <c r="SQ37" s="759"/>
      <c r="SR37" s="759"/>
      <c r="SS37" s="759"/>
      <c r="ST37" s="759"/>
      <c r="SU37" s="759"/>
      <c r="SV37" s="759"/>
      <c r="SW37" s="759"/>
      <c r="SX37" s="759"/>
      <c r="SY37" s="759"/>
      <c r="SZ37" s="759"/>
      <c r="TA37" s="759"/>
      <c r="TB37" s="759"/>
      <c r="TC37" s="759"/>
      <c r="TD37" s="759"/>
      <c r="TE37" s="759"/>
      <c r="TF37" s="759"/>
      <c r="TG37" s="759"/>
      <c r="TH37" s="759"/>
      <c r="TI37" s="759"/>
      <c r="TJ37" s="759"/>
      <c r="TK37" s="759"/>
      <c r="TL37" s="759"/>
      <c r="TM37" s="759"/>
      <c r="TN37" s="759"/>
      <c r="TO37" s="759"/>
      <c r="TP37" s="759"/>
      <c r="TQ37" s="759"/>
      <c r="TR37" s="759"/>
      <c r="TS37" s="759"/>
      <c r="TT37" s="759"/>
      <c r="TU37" s="759"/>
      <c r="TV37" s="759"/>
      <c r="TW37" s="759"/>
      <c r="TX37" s="759"/>
      <c r="TY37" s="759"/>
      <c r="TZ37" s="759"/>
      <c r="UA37" s="759"/>
      <c r="UB37" s="759"/>
      <c r="UC37" s="759"/>
      <c r="UD37" s="759"/>
      <c r="UE37" s="759"/>
      <c r="UF37" s="759"/>
      <c r="UG37" s="759"/>
      <c r="UH37" s="759"/>
      <c r="UI37" s="759"/>
      <c r="UJ37" s="759"/>
      <c r="UK37" s="759"/>
      <c r="UL37" s="759"/>
      <c r="UM37" s="759"/>
      <c r="UN37" s="759"/>
      <c r="UO37" s="759"/>
      <c r="UP37" s="759"/>
      <c r="UQ37" s="759"/>
      <c r="UR37" s="759"/>
      <c r="US37" s="759"/>
      <c r="UT37" s="759"/>
      <c r="UU37" s="759"/>
      <c r="UV37" s="759"/>
      <c r="UW37" s="759"/>
      <c r="UX37" s="759"/>
      <c r="UY37" s="759"/>
      <c r="UZ37" s="759"/>
      <c r="VA37" s="759"/>
      <c r="VB37" s="759"/>
      <c r="VC37" s="759"/>
      <c r="VD37" s="759"/>
      <c r="VE37" s="759"/>
      <c r="VF37" s="759"/>
      <c r="VG37" s="759"/>
      <c r="VH37" s="759"/>
      <c r="VI37" s="759"/>
      <c r="VJ37" s="759"/>
      <c r="VK37" s="759"/>
      <c r="VL37" s="759"/>
      <c r="VM37" s="759"/>
      <c r="VN37" s="759"/>
      <c r="VO37" s="759"/>
      <c r="VP37" s="759"/>
      <c r="VQ37" s="759"/>
      <c r="VR37" s="759"/>
      <c r="VS37" s="759"/>
      <c r="VT37" s="759"/>
      <c r="VU37" s="759"/>
      <c r="VV37" s="759"/>
      <c r="VW37" s="759"/>
      <c r="VX37" s="759"/>
      <c r="VY37" s="759"/>
      <c r="VZ37" s="759"/>
      <c r="WA37" s="759"/>
      <c r="WB37" s="759"/>
      <c r="WC37" s="759"/>
      <c r="WD37" s="759"/>
      <c r="WE37" s="759"/>
      <c r="WF37" s="759"/>
      <c r="WG37" s="759"/>
      <c r="WH37" s="759"/>
      <c r="WI37" s="759"/>
      <c r="WJ37" s="759"/>
      <c r="WK37" s="759"/>
      <c r="WL37" s="759"/>
      <c r="WM37" s="759"/>
      <c r="WN37" s="759"/>
      <c r="WO37" s="759"/>
      <c r="WP37" s="759"/>
      <c r="WQ37" s="759"/>
      <c r="WR37" s="759"/>
      <c r="WS37" s="759"/>
      <c r="WT37" s="759"/>
      <c r="WU37" s="759"/>
      <c r="WV37" s="759"/>
      <c r="WW37" s="759"/>
      <c r="WX37" s="759"/>
      <c r="WY37" s="759"/>
      <c r="WZ37" s="759"/>
      <c r="XA37" s="759"/>
      <c r="XB37" s="759"/>
      <c r="XC37" s="759"/>
      <c r="XD37" s="759"/>
      <c r="XE37" s="759"/>
      <c r="XF37" s="759"/>
      <c r="XG37" s="759"/>
      <c r="XH37" s="759"/>
      <c r="XI37" s="759"/>
      <c r="XJ37" s="759"/>
      <c r="XK37" s="759"/>
      <c r="XL37" s="759"/>
      <c r="XM37" s="759"/>
      <c r="XN37" s="759"/>
      <c r="XO37" s="759"/>
      <c r="XP37" s="759"/>
      <c r="XQ37" s="759"/>
      <c r="XR37" s="759"/>
      <c r="XS37" s="759"/>
      <c r="XT37" s="759"/>
      <c r="XU37" s="759"/>
      <c r="XV37" s="759"/>
      <c r="XW37" s="759"/>
      <c r="XX37" s="759"/>
      <c r="XY37" s="759"/>
      <c r="XZ37" s="759"/>
      <c r="YA37" s="759"/>
      <c r="YB37" s="759"/>
      <c r="YC37" s="759"/>
      <c r="YD37" s="759"/>
      <c r="YE37" s="759"/>
      <c r="YF37" s="759"/>
      <c r="YG37" s="759"/>
      <c r="YH37" s="759"/>
      <c r="YI37" s="759"/>
      <c r="YJ37" s="759"/>
      <c r="YK37" s="759"/>
      <c r="YL37" s="759"/>
      <c r="YM37" s="759"/>
      <c r="YN37" s="759"/>
      <c r="YO37" s="759"/>
      <c r="YP37" s="759"/>
      <c r="YQ37" s="759"/>
      <c r="YR37" s="759"/>
      <c r="YS37" s="759"/>
      <c r="YT37" s="759"/>
      <c r="YU37" s="759"/>
      <c r="YV37" s="759"/>
      <c r="YW37" s="759"/>
      <c r="YX37" s="759"/>
      <c r="YY37" s="759"/>
      <c r="YZ37" s="759"/>
      <c r="ZA37" s="759"/>
      <c r="ZB37" s="759"/>
      <c r="ZC37" s="759"/>
      <c r="ZD37" s="759"/>
      <c r="ZE37" s="759"/>
      <c r="ZF37" s="759"/>
      <c r="ZG37" s="759"/>
      <c r="ZH37" s="759"/>
      <c r="ZI37" s="759"/>
      <c r="ZJ37" s="759"/>
      <c r="ZK37" s="759"/>
      <c r="ZL37" s="759"/>
      <c r="ZM37" s="759"/>
      <c r="ZN37" s="759"/>
      <c r="ZO37" s="759"/>
      <c r="ZP37" s="759"/>
      <c r="ZQ37" s="759"/>
      <c r="ZR37" s="759"/>
      <c r="ZS37" s="759"/>
      <c r="ZT37" s="759"/>
      <c r="ZU37" s="759"/>
      <c r="ZV37" s="759"/>
      <c r="ZW37" s="759"/>
      <c r="ZX37" s="759"/>
      <c r="ZY37" s="759"/>
      <c r="ZZ37" s="759"/>
      <c r="AAA37" s="759"/>
      <c r="AAB37" s="759"/>
      <c r="AAC37" s="759"/>
      <c r="AAD37" s="759"/>
      <c r="AAE37" s="759"/>
      <c r="AAF37" s="759"/>
      <c r="AAG37" s="759"/>
      <c r="AAH37" s="759"/>
      <c r="AAI37" s="759"/>
      <c r="AAJ37" s="759"/>
      <c r="AAK37" s="759"/>
      <c r="AAL37" s="759"/>
      <c r="AAM37" s="759"/>
      <c r="AAN37" s="759"/>
      <c r="AAO37" s="759"/>
      <c r="AAP37" s="759"/>
      <c r="AAQ37" s="759"/>
      <c r="AAR37" s="759"/>
      <c r="AAS37" s="759"/>
      <c r="AAT37" s="759"/>
      <c r="AAU37" s="759"/>
      <c r="AAV37" s="759"/>
      <c r="AAW37" s="759"/>
      <c r="AAX37" s="759"/>
      <c r="AAY37" s="759"/>
      <c r="AAZ37" s="759"/>
      <c r="ABA37" s="759"/>
      <c r="ABB37" s="759"/>
      <c r="ABC37" s="759"/>
      <c r="ABD37" s="759"/>
      <c r="ABE37" s="759"/>
      <c r="ABF37" s="759"/>
      <c r="ABG37" s="759"/>
      <c r="ABH37" s="759"/>
      <c r="ABI37" s="759"/>
      <c r="ABJ37" s="759"/>
      <c r="ABK37" s="759"/>
      <c r="ABL37" s="759"/>
      <c r="ABM37" s="759"/>
      <c r="ABN37" s="759"/>
      <c r="ABO37" s="759"/>
      <c r="ABP37" s="759"/>
      <c r="ABQ37" s="759"/>
      <c r="ABR37" s="759"/>
      <c r="ABS37" s="759"/>
      <c r="ABT37" s="759"/>
      <c r="ABU37" s="759"/>
      <c r="ABV37" s="759"/>
      <c r="ABW37" s="759"/>
      <c r="ABX37" s="759"/>
      <c r="ABY37" s="759"/>
      <c r="ABZ37" s="759"/>
      <c r="ACA37" s="759"/>
      <c r="ACB37" s="759"/>
      <c r="ACC37" s="759"/>
      <c r="ACD37" s="759"/>
      <c r="ACE37" s="759"/>
      <c r="ACF37" s="759"/>
      <c r="ACG37" s="759"/>
      <c r="ACH37" s="759"/>
      <c r="ACI37" s="759"/>
      <c r="ACJ37" s="759"/>
      <c r="ACK37" s="759"/>
      <c r="ACL37" s="759"/>
      <c r="ACM37" s="759"/>
      <c r="ACN37" s="759"/>
      <c r="ACO37" s="759"/>
      <c r="ACP37" s="759"/>
      <c r="ACQ37" s="759"/>
      <c r="ACR37" s="759"/>
      <c r="ACS37" s="759"/>
      <c r="ACT37" s="759"/>
      <c r="ACU37" s="759"/>
      <c r="ACV37" s="759"/>
      <c r="ACW37" s="759"/>
      <c r="ACX37" s="759"/>
      <c r="ACY37" s="759"/>
      <c r="ACZ37" s="759"/>
      <c r="ADA37" s="759"/>
      <c r="ADB37" s="759"/>
      <c r="ADC37" s="759"/>
      <c r="ADD37" s="759"/>
      <c r="ADE37" s="759"/>
      <c r="ADF37" s="759"/>
      <c r="ADG37" s="759"/>
      <c r="ADH37" s="759"/>
      <c r="ADI37" s="759"/>
      <c r="ADJ37" s="759"/>
      <c r="ADK37" s="759"/>
      <c r="ADL37" s="759"/>
      <c r="ADM37" s="759"/>
      <c r="ADN37" s="759"/>
      <c r="ADO37" s="759"/>
      <c r="ADP37" s="759"/>
      <c r="ADQ37" s="759"/>
      <c r="ADR37" s="759"/>
      <c r="ADS37" s="759"/>
      <c r="ADT37" s="759"/>
      <c r="ADU37" s="759"/>
      <c r="ADV37" s="759"/>
      <c r="ADW37" s="759"/>
      <c r="ADX37" s="759"/>
      <c r="ADY37" s="759"/>
      <c r="ADZ37" s="759"/>
      <c r="AEA37" s="759"/>
      <c r="AEB37" s="759"/>
      <c r="AEC37" s="759"/>
      <c r="AED37" s="759"/>
      <c r="AEE37" s="759"/>
      <c r="AEF37" s="759"/>
      <c r="AEG37" s="759"/>
      <c r="AEH37" s="759"/>
      <c r="AEI37" s="759"/>
      <c r="AEJ37" s="759"/>
      <c r="AEK37" s="759"/>
      <c r="AEL37" s="759"/>
      <c r="AEM37" s="759"/>
      <c r="AEN37" s="759"/>
      <c r="AEO37" s="759"/>
      <c r="AEP37" s="759"/>
      <c r="AEQ37" s="759"/>
      <c r="AER37" s="759"/>
      <c r="AES37" s="759"/>
      <c r="AET37" s="759"/>
      <c r="AEU37" s="759"/>
      <c r="AEV37" s="759"/>
      <c r="AEW37" s="759"/>
      <c r="AEX37" s="759"/>
      <c r="AEY37" s="759"/>
      <c r="AEZ37" s="759"/>
      <c r="AFA37" s="759"/>
      <c r="AFB37" s="759"/>
      <c r="AFC37" s="759"/>
      <c r="AFD37" s="759"/>
      <c r="AFE37" s="759"/>
      <c r="AFF37" s="759"/>
      <c r="AFG37" s="759"/>
      <c r="AFH37" s="759"/>
      <c r="AFI37" s="759"/>
      <c r="AFJ37" s="759"/>
      <c r="AFK37" s="759"/>
      <c r="AFL37" s="759"/>
      <c r="AFM37" s="759"/>
      <c r="AFN37" s="759"/>
      <c r="AFO37" s="759"/>
      <c r="AFP37" s="759"/>
      <c r="AFQ37" s="759"/>
      <c r="AFR37" s="759"/>
      <c r="AFS37" s="759"/>
      <c r="AFT37" s="759"/>
      <c r="AFU37" s="759"/>
      <c r="AFV37" s="759"/>
      <c r="AFW37" s="759"/>
      <c r="AFX37" s="759"/>
      <c r="AFY37" s="759"/>
      <c r="AFZ37" s="759"/>
      <c r="AGA37" s="759"/>
      <c r="AGB37" s="759"/>
      <c r="AGC37" s="759"/>
      <c r="AGD37" s="759"/>
      <c r="AGE37" s="759"/>
      <c r="AGF37" s="759"/>
      <c r="AGG37" s="759"/>
      <c r="AGH37" s="759"/>
      <c r="AGI37" s="759"/>
      <c r="AGJ37" s="759"/>
      <c r="AGK37" s="759"/>
      <c r="AGL37" s="759"/>
      <c r="AGM37" s="759"/>
      <c r="AGN37" s="759"/>
      <c r="AGO37" s="759"/>
      <c r="AGP37" s="759"/>
      <c r="AGQ37" s="759"/>
      <c r="AGR37" s="759"/>
      <c r="AGS37" s="759"/>
      <c r="AGT37" s="759"/>
      <c r="AGU37" s="759"/>
      <c r="AGV37" s="759"/>
      <c r="AGW37" s="759"/>
      <c r="AGX37" s="759"/>
      <c r="AGY37" s="759"/>
      <c r="AGZ37" s="759"/>
      <c r="AHA37" s="759"/>
      <c r="AHB37" s="759"/>
      <c r="AHC37" s="759"/>
      <c r="AHD37" s="759"/>
      <c r="AHE37" s="759"/>
      <c r="AHF37" s="759"/>
      <c r="AHG37" s="759"/>
      <c r="AHH37" s="759"/>
      <c r="AHI37" s="759"/>
      <c r="AHJ37" s="759"/>
      <c r="AHK37" s="759"/>
      <c r="AHL37" s="759"/>
      <c r="AHM37" s="759"/>
      <c r="AHN37" s="759"/>
      <c r="AHO37" s="759"/>
      <c r="AHP37" s="759"/>
      <c r="AHQ37" s="759"/>
      <c r="AHR37" s="759"/>
      <c r="AHS37" s="759"/>
      <c r="AHT37" s="759"/>
      <c r="AHU37" s="759"/>
      <c r="AHV37" s="759"/>
      <c r="AHW37" s="759"/>
      <c r="AHX37" s="759"/>
      <c r="AHY37" s="759"/>
      <c r="AHZ37" s="759"/>
      <c r="AIA37" s="759"/>
      <c r="AIB37" s="759"/>
      <c r="AIC37" s="759"/>
      <c r="AID37" s="759"/>
      <c r="AIE37" s="759"/>
      <c r="AIF37" s="759"/>
      <c r="AIG37" s="759"/>
      <c r="AIH37" s="759"/>
      <c r="AII37" s="759"/>
      <c r="AIJ37" s="759"/>
      <c r="AIK37" s="759"/>
      <c r="AIL37" s="759"/>
      <c r="AIM37" s="759"/>
      <c r="AIN37" s="759"/>
      <c r="AIO37" s="759"/>
      <c r="AIP37" s="759"/>
      <c r="AIQ37" s="759"/>
      <c r="AIR37" s="759"/>
      <c r="AIS37" s="759"/>
      <c r="AIT37" s="759"/>
      <c r="AIU37" s="759"/>
      <c r="AIV37" s="759"/>
      <c r="AIW37" s="759"/>
      <c r="AIX37" s="759"/>
      <c r="AIY37" s="759"/>
      <c r="AIZ37" s="759"/>
      <c r="AJA37" s="759"/>
      <c r="AJB37" s="759"/>
      <c r="AJC37" s="759"/>
      <c r="AJD37" s="759"/>
      <c r="AJE37" s="759"/>
      <c r="AJF37" s="759"/>
      <c r="AJG37" s="759"/>
      <c r="AJH37" s="759"/>
      <c r="AJI37" s="759"/>
      <c r="AJJ37" s="759"/>
      <c r="AJK37" s="759"/>
      <c r="AJL37" s="759"/>
      <c r="AJM37" s="759"/>
      <c r="AJN37" s="759"/>
      <c r="AJO37" s="759"/>
      <c r="AJP37" s="759"/>
      <c r="AJQ37" s="759"/>
      <c r="AJR37" s="759"/>
      <c r="AJS37" s="759"/>
      <c r="AJT37" s="759"/>
      <c r="AJU37" s="759"/>
      <c r="AJV37" s="759"/>
      <c r="AJW37" s="759"/>
      <c r="AJX37" s="759"/>
      <c r="AJY37" s="759"/>
      <c r="AJZ37" s="759"/>
      <c r="AKA37" s="759"/>
      <c r="AKB37" s="759"/>
      <c r="AKC37" s="759"/>
      <c r="AKD37" s="759"/>
      <c r="AKE37" s="759"/>
      <c r="AKF37" s="759"/>
      <c r="AKG37" s="759"/>
      <c r="AKH37" s="759"/>
      <c r="AKI37" s="759"/>
      <c r="AKJ37" s="759"/>
      <c r="AKK37" s="759"/>
      <c r="AKL37" s="759"/>
      <c r="AKM37" s="759"/>
      <c r="AKN37" s="759"/>
      <c r="AKO37" s="759"/>
      <c r="AKP37" s="759"/>
      <c r="AKQ37" s="759"/>
      <c r="AKR37" s="759"/>
      <c r="AKS37" s="759"/>
      <c r="AKT37" s="759"/>
      <c r="AKU37" s="759"/>
      <c r="AKV37" s="759"/>
      <c r="AKW37" s="759"/>
      <c r="AKX37" s="759"/>
      <c r="AKY37" s="759"/>
      <c r="AKZ37" s="759"/>
      <c r="ALA37" s="759"/>
      <c r="ALB37" s="759"/>
      <c r="ALC37" s="759"/>
      <c r="ALD37" s="759"/>
      <c r="ALE37" s="759"/>
      <c r="ALF37" s="759"/>
      <c r="ALG37" s="759"/>
      <c r="ALH37" s="759"/>
      <c r="ALI37" s="759"/>
      <c r="ALJ37" s="759"/>
      <c r="ALK37" s="759"/>
      <c r="ALL37" s="759"/>
      <c r="ALM37" s="759"/>
      <c r="ALN37" s="759"/>
      <c r="ALO37" s="759"/>
      <c r="ALP37" s="759"/>
      <c r="ALQ37" s="759"/>
      <c r="ALR37" s="759"/>
      <c r="ALS37" s="759"/>
      <c r="ALT37" s="759"/>
      <c r="ALU37" s="759"/>
      <c r="ALV37" s="759"/>
      <c r="ALW37" s="759"/>
      <c r="ALX37" s="759"/>
      <c r="ALY37" s="759"/>
      <c r="ALZ37" s="759"/>
      <c r="AMA37" s="759"/>
      <c r="AMB37" s="759"/>
      <c r="AMC37" s="759"/>
      <c r="AMD37" s="759"/>
      <c r="AME37" s="759"/>
      <c r="AMF37" s="759"/>
      <c r="AMG37" s="759"/>
      <c r="AMH37" s="759"/>
      <c r="AMI37" s="759"/>
      <c r="AMJ37" s="759"/>
      <c r="AMK37" s="759"/>
      <c r="AML37" s="759"/>
      <c r="AMM37" s="759"/>
      <c r="AMN37" s="759"/>
      <c r="AMO37" s="759"/>
      <c r="AMP37" s="759"/>
      <c r="AMQ37" s="759"/>
      <c r="AMR37" s="759"/>
      <c r="AMS37" s="759"/>
      <c r="AMT37" s="759"/>
      <c r="AMU37" s="759"/>
      <c r="AMV37" s="759"/>
      <c r="AMW37" s="759"/>
      <c r="AMX37" s="759"/>
      <c r="AMY37" s="759"/>
      <c r="AMZ37" s="759"/>
      <c r="ANA37" s="759"/>
      <c r="ANB37" s="759"/>
      <c r="ANC37" s="759"/>
      <c r="AND37" s="759"/>
      <c r="ANE37" s="759"/>
      <c r="ANF37" s="759"/>
      <c r="ANG37" s="759"/>
      <c r="ANH37" s="759"/>
      <c r="ANI37" s="759"/>
      <c r="ANJ37" s="759"/>
      <c r="ANK37" s="759"/>
      <c r="ANL37" s="759"/>
      <c r="ANM37" s="759"/>
      <c r="ANN37" s="759"/>
      <c r="ANO37" s="759"/>
      <c r="ANP37" s="759"/>
      <c r="ANQ37" s="759"/>
      <c r="ANR37" s="759"/>
      <c r="ANS37" s="759"/>
      <c r="ANT37" s="759"/>
      <c r="ANU37" s="759"/>
      <c r="ANV37" s="759"/>
      <c r="ANW37" s="759"/>
      <c r="ANX37" s="759"/>
      <c r="ANY37" s="759"/>
      <c r="ANZ37" s="759"/>
      <c r="AOA37" s="759"/>
      <c r="AOB37" s="759"/>
      <c r="AOC37" s="759"/>
      <c r="AOD37" s="759"/>
      <c r="AOE37" s="759"/>
      <c r="AOF37" s="759"/>
      <c r="AOG37" s="759"/>
      <c r="AOH37" s="759"/>
      <c r="AOI37" s="759"/>
      <c r="AOJ37" s="759"/>
      <c r="AOK37" s="759"/>
      <c r="AOL37" s="759"/>
      <c r="AOM37" s="759"/>
      <c r="AON37" s="759"/>
      <c r="AOO37" s="759"/>
      <c r="AOP37" s="759"/>
      <c r="AOQ37" s="759"/>
      <c r="AOR37" s="759"/>
      <c r="AOS37" s="759"/>
      <c r="AOT37" s="759"/>
      <c r="AOU37" s="759"/>
      <c r="AOV37" s="759"/>
      <c r="AOW37" s="759"/>
      <c r="AOX37" s="759"/>
      <c r="AOY37" s="759"/>
      <c r="AOZ37" s="759"/>
      <c r="APA37" s="759"/>
      <c r="APB37" s="759"/>
      <c r="APC37" s="759"/>
      <c r="APD37" s="759"/>
      <c r="APE37" s="759"/>
      <c r="APF37" s="759"/>
      <c r="APG37" s="759"/>
      <c r="APH37" s="759"/>
      <c r="API37" s="759"/>
      <c r="APJ37" s="759"/>
      <c r="APK37" s="759"/>
      <c r="APL37" s="759"/>
      <c r="APM37" s="759"/>
      <c r="APN37" s="759"/>
      <c r="APO37" s="759"/>
      <c r="APP37" s="759"/>
      <c r="APQ37" s="759"/>
      <c r="APR37" s="759"/>
      <c r="APS37" s="759"/>
      <c r="APT37" s="759"/>
      <c r="APU37" s="759"/>
      <c r="APV37" s="759"/>
      <c r="APW37" s="759"/>
      <c r="APX37" s="759"/>
      <c r="APY37" s="759"/>
      <c r="APZ37" s="759"/>
      <c r="AQA37" s="759"/>
      <c r="AQB37" s="759"/>
      <c r="AQC37" s="759"/>
      <c r="AQD37" s="759"/>
      <c r="AQE37" s="759"/>
      <c r="AQF37" s="759"/>
      <c r="AQG37" s="759"/>
      <c r="AQH37" s="759"/>
      <c r="AQI37" s="759"/>
      <c r="AQJ37" s="759"/>
      <c r="AQK37" s="759"/>
      <c r="AQL37" s="759"/>
      <c r="AQM37" s="759"/>
      <c r="AQN37" s="759"/>
      <c r="AQO37" s="759"/>
      <c r="AQP37" s="759"/>
      <c r="AQQ37" s="759"/>
      <c r="AQR37" s="759"/>
      <c r="AQS37" s="759"/>
      <c r="AQT37" s="759"/>
      <c r="AQU37" s="759"/>
      <c r="AQV37" s="759"/>
      <c r="AQW37" s="759"/>
      <c r="AQX37" s="759"/>
      <c r="AQY37" s="759"/>
      <c r="AQZ37" s="759"/>
      <c r="ARA37" s="759"/>
      <c r="ARB37" s="759"/>
      <c r="ARC37" s="759"/>
      <c r="ARD37" s="759"/>
      <c r="ARE37" s="759"/>
      <c r="ARF37" s="759"/>
      <c r="ARG37" s="759"/>
      <c r="ARH37" s="759"/>
      <c r="ARI37" s="759"/>
      <c r="ARJ37" s="759"/>
      <c r="ARK37" s="759"/>
      <c r="ARL37" s="759"/>
      <c r="ARM37" s="759"/>
      <c r="ARN37" s="759"/>
      <c r="ARO37" s="759"/>
      <c r="ARP37" s="759"/>
      <c r="ARQ37" s="759"/>
      <c r="ARR37" s="759"/>
      <c r="ARS37" s="759"/>
      <c r="ART37" s="759"/>
      <c r="ARU37" s="759"/>
      <c r="ARV37" s="759"/>
      <c r="ARW37" s="759"/>
      <c r="ARX37" s="759"/>
      <c r="ARY37" s="759"/>
      <c r="ARZ37" s="759"/>
      <c r="ASA37" s="759"/>
      <c r="ASB37" s="759"/>
      <c r="ASC37" s="759"/>
      <c r="ASD37" s="759"/>
      <c r="ASE37" s="759"/>
      <c r="ASF37" s="759"/>
      <c r="ASG37" s="759"/>
      <c r="ASH37" s="759"/>
      <c r="ASI37" s="759"/>
      <c r="ASJ37" s="759"/>
      <c r="ASK37" s="759"/>
      <c r="ASL37" s="759"/>
      <c r="ASM37" s="759"/>
      <c r="ASN37" s="759"/>
      <c r="ASO37" s="759"/>
      <c r="ASP37" s="759"/>
      <c r="ASQ37" s="759"/>
      <c r="ASR37" s="759"/>
      <c r="ASS37" s="759"/>
      <c r="AST37" s="759"/>
      <c r="ASU37" s="759"/>
      <c r="ASV37" s="759"/>
      <c r="ASW37" s="759"/>
      <c r="ASX37" s="759"/>
      <c r="ASY37" s="759"/>
      <c r="ASZ37" s="759"/>
      <c r="ATA37" s="759"/>
      <c r="ATB37" s="759"/>
      <c r="ATC37" s="759"/>
      <c r="ATD37" s="759"/>
      <c r="ATE37" s="759"/>
      <c r="ATF37" s="759"/>
      <c r="ATG37" s="759"/>
      <c r="ATH37" s="759"/>
      <c r="ATI37" s="759"/>
      <c r="ATJ37" s="759"/>
      <c r="ATK37" s="759"/>
      <c r="ATL37" s="759"/>
      <c r="ATM37" s="759"/>
      <c r="ATN37" s="759"/>
      <c r="ATO37" s="759"/>
      <c r="ATP37" s="759"/>
      <c r="ATQ37" s="759"/>
      <c r="ATR37" s="759"/>
      <c r="ATS37" s="759"/>
      <c r="ATT37" s="759"/>
      <c r="ATU37" s="759"/>
      <c r="ATV37" s="759"/>
      <c r="ATW37" s="759"/>
      <c r="ATX37" s="759"/>
      <c r="ATY37" s="759"/>
      <c r="ATZ37" s="759"/>
      <c r="AUA37" s="759"/>
      <c r="AUB37" s="759"/>
      <c r="AUC37" s="759"/>
      <c r="AUD37" s="759"/>
      <c r="AUE37" s="759"/>
      <c r="AUF37" s="759"/>
      <c r="AUG37" s="759"/>
      <c r="AUH37" s="759"/>
      <c r="AUI37" s="759"/>
      <c r="AUJ37" s="759"/>
      <c r="AUK37" s="759"/>
      <c r="AUL37" s="759"/>
      <c r="AUM37" s="759"/>
      <c r="AUN37" s="759"/>
      <c r="AUO37" s="759"/>
      <c r="AUP37" s="759"/>
      <c r="AUQ37" s="759"/>
      <c r="AUR37" s="759"/>
      <c r="AUS37" s="759"/>
      <c r="AUT37" s="759"/>
      <c r="AUU37" s="759"/>
      <c r="AUV37" s="759"/>
      <c r="AUW37" s="759"/>
      <c r="AUX37" s="759"/>
      <c r="AUY37" s="759"/>
      <c r="AUZ37" s="759"/>
      <c r="AVA37" s="759"/>
      <c r="AVB37" s="759"/>
      <c r="AVC37" s="759"/>
      <c r="AVD37" s="759"/>
      <c r="AVE37" s="759"/>
      <c r="AVF37" s="759"/>
      <c r="AVG37" s="759"/>
      <c r="AVH37" s="759"/>
      <c r="AVI37" s="759"/>
      <c r="AVJ37" s="759"/>
      <c r="AVK37" s="759"/>
      <c r="AVL37" s="759"/>
      <c r="AVM37" s="759"/>
      <c r="AVN37" s="759"/>
      <c r="AVO37" s="759"/>
      <c r="AVP37" s="759"/>
      <c r="AVQ37" s="759"/>
      <c r="AVR37" s="759"/>
      <c r="AVS37" s="759"/>
      <c r="AVT37" s="759"/>
      <c r="AVU37" s="759"/>
      <c r="AVV37" s="759"/>
      <c r="AVW37" s="759"/>
      <c r="AVX37" s="759"/>
      <c r="AVY37" s="759"/>
      <c r="AVZ37" s="759"/>
      <c r="AWA37" s="759"/>
      <c r="AWB37" s="759"/>
      <c r="AWC37" s="759"/>
      <c r="AWD37" s="759"/>
      <c r="AWE37" s="759"/>
      <c r="AWF37" s="759"/>
      <c r="AWG37" s="759"/>
      <c r="AWH37" s="759"/>
      <c r="AWI37" s="759"/>
      <c r="AWJ37" s="759"/>
      <c r="AWK37" s="759"/>
      <c r="AWL37" s="759"/>
      <c r="AWM37" s="759"/>
      <c r="AWN37" s="759"/>
      <c r="AWO37" s="759"/>
      <c r="AWP37" s="759"/>
      <c r="AWQ37" s="759"/>
      <c r="AWR37" s="759"/>
      <c r="AWS37" s="759"/>
      <c r="AWT37" s="759"/>
      <c r="AWU37" s="759"/>
      <c r="AWV37" s="759"/>
      <c r="AWW37" s="759"/>
      <c r="AWX37" s="759"/>
      <c r="AWY37" s="759"/>
      <c r="AWZ37" s="759"/>
      <c r="AXA37" s="759"/>
      <c r="AXB37" s="759"/>
      <c r="AXC37" s="759"/>
      <c r="AXD37" s="759"/>
      <c r="AXE37" s="759"/>
      <c r="AXF37" s="759"/>
      <c r="AXG37" s="759"/>
      <c r="AXH37" s="759"/>
      <c r="AXI37" s="759"/>
      <c r="AXJ37" s="759"/>
      <c r="AXK37" s="759"/>
      <c r="AXL37" s="759"/>
      <c r="AXM37" s="759"/>
      <c r="AXN37" s="759"/>
      <c r="AXO37" s="759"/>
      <c r="AXP37" s="759"/>
      <c r="AXQ37" s="759"/>
      <c r="AXR37" s="759"/>
      <c r="AXS37" s="759"/>
      <c r="AXT37" s="759"/>
      <c r="AXU37" s="759"/>
      <c r="AXV37" s="759"/>
      <c r="AXW37" s="759"/>
      <c r="AXX37" s="759"/>
      <c r="AXY37" s="759"/>
      <c r="AXZ37" s="759"/>
      <c r="AYA37" s="759"/>
      <c r="AYB37" s="759"/>
      <c r="AYC37" s="759"/>
      <c r="AYD37" s="759"/>
      <c r="AYE37" s="759"/>
      <c r="AYF37" s="759"/>
      <c r="AYG37" s="759"/>
      <c r="AYH37" s="759"/>
      <c r="AYI37" s="759"/>
      <c r="AYJ37" s="759"/>
      <c r="AYK37" s="759"/>
      <c r="AYL37" s="759"/>
      <c r="AYM37" s="759"/>
      <c r="AYN37" s="759"/>
      <c r="AYO37" s="759"/>
      <c r="AYP37" s="759"/>
      <c r="AYQ37" s="759"/>
      <c r="AYR37" s="759"/>
      <c r="AYS37" s="759"/>
      <c r="AYT37" s="759"/>
      <c r="AYU37" s="759"/>
      <c r="AYV37" s="759"/>
      <c r="AYW37" s="759"/>
      <c r="AYX37" s="759"/>
      <c r="AYY37" s="759"/>
      <c r="AYZ37" s="759"/>
      <c r="AZA37" s="759"/>
      <c r="AZB37" s="759"/>
      <c r="AZC37" s="759"/>
      <c r="AZD37" s="759"/>
      <c r="AZE37" s="759"/>
      <c r="AZF37" s="759"/>
      <c r="AZG37" s="759"/>
      <c r="AZH37" s="759"/>
      <c r="AZI37" s="759"/>
      <c r="AZJ37" s="759"/>
      <c r="AZK37" s="759"/>
      <c r="AZL37" s="759"/>
      <c r="AZM37" s="759"/>
      <c r="AZN37" s="759"/>
      <c r="AZO37" s="759"/>
      <c r="AZP37" s="759"/>
      <c r="AZQ37" s="759"/>
      <c r="AZR37" s="759"/>
      <c r="AZS37" s="759"/>
      <c r="AZT37" s="759"/>
      <c r="AZU37" s="759"/>
      <c r="AZV37" s="759"/>
      <c r="AZW37" s="759"/>
      <c r="AZX37" s="759"/>
      <c r="AZY37" s="759"/>
      <c r="AZZ37" s="759"/>
      <c r="BAA37" s="759"/>
      <c r="BAB37" s="759"/>
      <c r="BAC37" s="759"/>
      <c r="BAD37" s="759"/>
      <c r="BAE37" s="759"/>
      <c r="BAF37" s="759"/>
      <c r="BAG37" s="759"/>
      <c r="BAH37" s="759"/>
      <c r="BAI37" s="759"/>
      <c r="BAJ37" s="759"/>
      <c r="BAK37" s="759"/>
      <c r="BAL37" s="759"/>
      <c r="BAM37" s="759"/>
      <c r="BAN37" s="759"/>
      <c r="BAO37" s="759"/>
      <c r="BAP37" s="759"/>
      <c r="BAQ37" s="759"/>
      <c r="BAR37" s="759"/>
      <c r="BAS37" s="759"/>
      <c r="BAT37" s="759"/>
      <c r="BAU37" s="759"/>
      <c r="BAV37" s="759"/>
      <c r="BAW37" s="759"/>
      <c r="BAX37" s="759"/>
      <c r="BAY37" s="759"/>
      <c r="BAZ37" s="759"/>
      <c r="BBA37" s="759"/>
      <c r="BBB37" s="759"/>
      <c r="BBC37" s="759"/>
      <c r="BBD37" s="759"/>
      <c r="BBE37" s="759"/>
      <c r="BBF37" s="759"/>
      <c r="BBG37" s="759"/>
      <c r="BBH37" s="759"/>
      <c r="BBI37" s="759"/>
      <c r="BBJ37" s="759"/>
      <c r="BBK37" s="759"/>
      <c r="BBL37" s="759"/>
      <c r="BBM37" s="759"/>
      <c r="BBN37" s="759"/>
      <c r="BBO37" s="759"/>
      <c r="BBP37" s="759"/>
      <c r="BBQ37" s="759"/>
      <c r="BBR37" s="759"/>
      <c r="BBS37" s="759"/>
      <c r="BBT37" s="759"/>
      <c r="BBU37" s="759"/>
      <c r="BBV37" s="759"/>
      <c r="BBW37" s="759"/>
      <c r="BBX37" s="759"/>
      <c r="BBY37" s="759"/>
      <c r="BBZ37" s="759"/>
      <c r="BCA37" s="759"/>
      <c r="BCB37" s="759"/>
      <c r="BCC37" s="759"/>
      <c r="BCD37" s="759"/>
      <c r="BCE37" s="759"/>
      <c r="BCF37" s="759"/>
      <c r="BCG37" s="759"/>
      <c r="BCH37" s="759"/>
      <c r="BCI37" s="759"/>
      <c r="BCJ37" s="759"/>
      <c r="BCK37" s="759"/>
      <c r="BCL37" s="759"/>
      <c r="BCM37" s="759"/>
      <c r="BCN37" s="759"/>
      <c r="BCO37" s="759"/>
      <c r="BCP37" s="759"/>
      <c r="BCQ37" s="759"/>
      <c r="BCR37" s="759"/>
      <c r="BCS37" s="759"/>
      <c r="BCT37" s="759"/>
      <c r="BCU37" s="759"/>
      <c r="BCV37" s="759"/>
      <c r="BCW37" s="759"/>
      <c r="BCX37" s="759"/>
      <c r="BCY37" s="759"/>
      <c r="BCZ37" s="759"/>
      <c r="BDA37" s="759"/>
      <c r="BDB37" s="759"/>
      <c r="BDC37" s="759"/>
      <c r="BDD37" s="759"/>
      <c r="BDE37" s="759"/>
      <c r="BDF37" s="759"/>
      <c r="BDG37" s="759"/>
      <c r="BDH37" s="759"/>
      <c r="BDI37" s="759"/>
      <c r="BDJ37" s="759"/>
      <c r="BDK37" s="759"/>
      <c r="BDL37" s="759"/>
      <c r="BDM37" s="759"/>
      <c r="BDN37" s="759"/>
      <c r="BDO37" s="759"/>
      <c r="BDP37" s="759"/>
      <c r="BDQ37" s="759"/>
      <c r="BDR37" s="759"/>
      <c r="BDS37" s="759"/>
      <c r="BDT37" s="759"/>
      <c r="BDU37" s="759"/>
      <c r="BDV37" s="759"/>
      <c r="BDW37" s="759"/>
      <c r="BDX37" s="759"/>
      <c r="BDY37" s="759"/>
      <c r="BDZ37" s="759"/>
      <c r="BEA37" s="759"/>
      <c r="BEB37" s="759"/>
      <c r="BEC37" s="759"/>
      <c r="BED37" s="759"/>
      <c r="BEE37" s="759"/>
      <c r="BEF37" s="759"/>
      <c r="BEG37" s="759"/>
      <c r="BEH37" s="759"/>
      <c r="BEI37" s="759"/>
      <c r="BEJ37" s="759"/>
      <c r="BEK37" s="759"/>
      <c r="BEL37" s="759"/>
      <c r="BEM37" s="759"/>
      <c r="BEN37" s="759"/>
      <c r="BEO37" s="759"/>
      <c r="BEP37" s="759"/>
      <c r="BEQ37" s="759"/>
      <c r="BER37" s="759"/>
      <c r="BES37" s="759"/>
      <c r="BET37" s="759"/>
      <c r="BEU37" s="759"/>
      <c r="BEV37" s="759"/>
      <c r="BEW37" s="759"/>
      <c r="BEX37" s="759"/>
      <c r="BEY37" s="759"/>
      <c r="BEZ37" s="759"/>
      <c r="BFA37" s="759"/>
      <c r="BFB37" s="759"/>
      <c r="BFC37" s="759"/>
      <c r="BFD37" s="759"/>
      <c r="BFE37" s="759"/>
      <c r="BFF37" s="759"/>
      <c r="BFG37" s="759"/>
      <c r="BFH37" s="759"/>
      <c r="BFI37" s="759"/>
      <c r="BFJ37" s="759"/>
      <c r="BFK37" s="759"/>
      <c r="BFL37" s="759"/>
      <c r="BFM37" s="759"/>
      <c r="BFN37" s="759"/>
      <c r="BFO37" s="759"/>
      <c r="BFP37" s="759"/>
      <c r="BFQ37" s="759"/>
      <c r="BFR37" s="759"/>
      <c r="BFS37" s="759"/>
      <c r="BFT37" s="759"/>
      <c r="BFU37" s="759"/>
      <c r="BFV37" s="759"/>
      <c r="BFW37" s="759"/>
      <c r="BFX37" s="759"/>
      <c r="BFY37" s="759"/>
      <c r="BFZ37" s="759"/>
      <c r="BGA37" s="759"/>
      <c r="BGB37" s="759"/>
      <c r="BGC37" s="759"/>
      <c r="BGD37" s="759"/>
      <c r="BGE37" s="759"/>
      <c r="BGF37" s="759"/>
      <c r="BGG37" s="759"/>
      <c r="BGH37" s="759"/>
      <c r="BGI37" s="759"/>
      <c r="BGJ37" s="759"/>
      <c r="BGK37" s="759"/>
      <c r="BGL37" s="759"/>
      <c r="BGM37" s="759"/>
      <c r="BGN37" s="759"/>
      <c r="BGO37" s="759"/>
      <c r="BGP37" s="759"/>
      <c r="BGQ37" s="759"/>
      <c r="BGR37" s="759"/>
      <c r="BGS37" s="759"/>
      <c r="BGT37" s="759"/>
      <c r="BGU37" s="759"/>
      <c r="BGV37" s="759"/>
      <c r="BGW37" s="759"/>
      <c r="BGX37" s="759"/>
      <c r="BGY37" s="759"/>
      <c r="BGZ37" s="759"/>
      <c r="BHA37" s="759"/>
      <c r="BHB37" s="759"/>
      <c r="BHC37" s="759"/>
      <c r="BHD37" s="759"/>
      <c r="BHE37" s="759"/>
      <c r="BHF37" s="759"/>
      <c r="BHG37" s="759"/>
      <c r="BHH37" s="759"/>
      <c r="BHI37" s="759"/>
      <c r="BHJ37" s="759"/>
      <c r="BHK37" s="759"/>
      <c r="BHL37" s="759"/>
      <c r="BHM37" s="759"/>
      <c r="BHN37" s="759"/>
      <c r="BHO37" s="759"/>
      <c r="BHP37" s="759"/>
      <c r="BHQ37" s="759"/>
      <c r="BHR37" s="759"/>
      <c r="BHS37" s="759"/>
      <c r="BHT37" s="759"/>
      <c r="BHU37" s="759"/>
      <c r="BHV37" s="759"/>
      <c r="BHW37" s="759"/>
      <c r="BHX37" s="759"/>
      <c r="BHY37" s="759"/>
      <c r="BHZ37" s="759"/>
      <c r="BIA37" s="759"/>
      <c r="BIB37" s="759"/>
      <c r="BIC37" s="759"/>
      <c r="BID37" s="759"/>
      <c r="BIE37" s="759"/>
      <c r="BIF37" s="759"/>
      <c r="BIG37" s="759"/>
      <c r="BIH37" s="759"/>
      <c r="BII37" s="759"/>
      <c r="BIJ37" s="759"/>
      <c r="BIK37" s="759"/>
      <c r="BIL37" s="759"/>
      <c r="BIM37" s="759"/>
      <c r="BIN37" s="759"/>
      <c r="BIO37" s="759"/>
      <c r="BIP37" s="759"/>
      <c r="BIQ37" s="759"/>
      <c r="BIR37" s="759"/>
      <c r="BIS37" s="759"/>
      <c r="BIT37" s="759"/>
      <c r="BIU37" s="759"/>
      <c r="BIV37" s="759"/>
      <c r="BIW37" s="759"/>
      <c r="BIX37" s="759"/>
      <c r="BIY37" s="759"/>
      <c r="BIZ37" s="759"/>
      <c r="BJA37" s="759"/>
      <c r="BJB37" s="759"/>
      <c r="BJC37" s="759"/>
      <c r="BJD37" s="759"/>
      <c r="BJE37" s="759"/>
      <c r="BJF37" s="759"/>
      <c r="BJG37" s="759"/>
      <c r="BJH37" s="759"/>
      <c r="BJI37" s="759"/>
      <c r="BJJ37" s="759"/>
      <c r="BJK37" s="759"/>
      <c r="BJL37" s="759"/>
      <c r="BJM37" s="759"/>
      <c r="BJN37" s="759"/>
      <c r="BJO37" s="759"/>
      <c r="BJP37" s="759"/>
      <c r="BJQ37" s="759"/>
      <c r="BJR37" s="759"/>
      <c r="BJS37" s="759"/>
      <c r="BJT37" s="759"/>
      <c r="BJU37" s="759"/>
      <c r="BJV37" s="759"/>
      <c r="BJW37" s="759"/>
      <c r="BJX37" s="759"/>
      <c r="BJY37" s="759"/>
      <c r="BJZ37" s="759"/>
      <c r="BKA37" s="759"/>
      <c r="BKB37" s="759"/>
      <c r="BKC37" s="759"/>
      <c r="BKD37" s="759"/>
      <c r="BKE37" s="759"/>
      <c r="BKF37" s="759"/>
      <c r="BKG37" s="759"/>
      <c r="BKH37" s="759"/>
      <c r="BKI37" s="759"/>
      <c r="BKJ37" s="759"/>
      <c r="BKK37" s="759"/>
      <c r="BKL37" s="759"/>
      <c r="BKM37" s="759"/>
      <c r="BKN37" s="759"/>
      <c r="BKO37" s="759"/>
      <c r="BKP37" s="759"/>
      <c r="BKQ37" s="759"/>
      <c r="BKR37" s="759"/>
      <c r="BKS37" s="759"/>
      <c r="BKT37" s="759"/>
      <c r="BKU37" s="759"/>
      <c r="BKV37" s="759"/>
      <c r="BKW37" s="759"/>
      <c r="BKX37" s="759"/>
      <c r="BKY37" s="759"/>
      <c r="BKZ37" s="759"/>
      <c r="BLA37" s="759"/>
      <c r="BLB37" s="759"/>
      <c r="BLC37" s="759"/>
      <c r="BLD37" s="759"/>
      <c r="BLE37" s="759"/>
      <c r="BLF37" s="759"/>
      <c r="BLG37" s="759"/>
      <c r="BLH37" s="759"/>
      <c r="BLI37" s="759"/>
      <c r="BLJ37" s="759"/>
      <c r="BLK37" s="759"/>
      <c r="BLL37" s="759"/>
      <c r="BLM37" s="759"/>
      <c r="BLN37" s="759"/>
      <c r="BLO37" s="759"/>
      <c r="BLP37" s="759"/>
      <c r="BLQ37" s="759"/>
      <c r="BLR37" s="759"/>
      <c r="BLS37" s="759"/>
      <c r="BLT37" s="759"/>
      <c r="BLU37" s="759"/>
      <c r="BLV37" s="759"/>
      <c r="BLW37" s="759"/>
      <c r="BLX37" s="759"/>
      <c r="BLY37" s="759"/>
      <c r="BLZ37" s="759"/>
      <c r="BMA37" s="759"/>
      <c r="BMB37" s="759"/>
      <c r="BMC37" s="759"/>
      <c r="BMD37" s="759"/>
      <c r="BME37" s="759"/>
      <c r="BMF37" s="759"/>
      <c r="BMG37" s="759"/>
      <c r="BMH37" s="759"/>
      <c r="BMI37" s="759"/>
      <c r="BMJ37" s="759"/>
      <c r="BMK37" s="759"/>
      <c r="BML37" s="759"/>
      <c r="BMM37" s="759"/>
      <c r="BMN37" s="759"/>
      <c r="BMO37" s="759"/>
      <c r="BMP37" s="759"/>
      <c r="BMQ37" s="759"/>
      <c r="BMR37" s="759"/>
      <c r="BMS37" s="759"/>
      <c r="BMT37" s="759"/>
      <c r="BMU37" s="759"/>
      <c r="BMV37" s="759"/>
      <c r="BMW37" s="759"/>
      <c r="BMX37" s="759"/>
      <c r="BMY37" s="759"/>
      <c r="BMZ37" s="759"/>
      <c r="BNA37" s="759"/>
      <c r="BNB37" s="759"/>
      <c r="BNC37" s="759"/>
      <c r="BND37" s="759"/>
      <c r="BNE37" s="759"/>
      <c r="BNF37" s="759"/>
      <c r="BNG37" s="759"/>
      <c r="BNH37" s="759"/>
      <c r="BNI37" s="759"/>
      <c r="BNJ37" s="759"/>
      <c r="BNK37" s="759"/>
      <c r="BNL37" s="759"/>
      <c r="BNM37" s="759"/>
      <c r="BNN37" s="759"/>
      <c r="BNO37" s="759"/>
      <c r="BNP37" s="759"/>
      <c r="BNQ37" s="759"/>
      <c r="BNR37" s="759"/>
      <c r="BNS37" s="759"/>
      <c r="BNT37" s="759"/>
      <c r="BNU37" s="759"/>
      <c r="BNV37" s="759"/>
      <c r="BNW37" s="759"/>
      <c r="BNX37" s="759"/>
      <c r="BNY37" s="759"/>
      <c r="BNZ37" s="759"/>
      <c r="BOA37" s="759"/>
      <c r="BOB37" s="759"/>
      <c r="BOC37" s="759"/>
      <c r="BOD37" s="759"/>
      <c r="BOE37" s="759"/>
      <c r="BOF37" s="759"/>
      <c r="BOG37" s="759"/>
      <c r="BOH37" s="759"/>
      <c r="BOI37" s="759"/>
      <c r="BOJ37" s="759"/>
      <c r="BOK37" s="759"/>
      <c r="BOL37" s="759"/>
      <c r="BOM37" s="759"/>
      <c r="BON37" s="759"/>
      <c r="BOO37" s="759"/>
      <c r="BOP37" s="759"/>
      <c r="BOQ37" s="759"/>
      <c r="BOR37" s="759"/>
      <c r="BOS37" s="759"/>
      <c r="BOT37" s="759"/>
      <c r="BOU37" s="759"/>
      <c r="BOV37" s="759"/>
      <c r="BOW37" s="759"/>
      <c r="BOX37" s="759"/>
      <c r="BOY37" s="759"/>
      <c r="BOZ37" s="759"/>
      <c r="BPA37" s="759"/>
      <c r="BPB37" s="759"/>
      <c r="BPC37" s="759"/>
      <c r="BPD37" s="759"/>
      <c r="BPE37" s="759"/>
      <c r="BPF37" s="759"/>
      <c r="BPG37" s="759"/>
      <c r="BPH37" s="759"/>
      <c r="BPI37" s="759"/>
      <c r="BPJ37" s="759"/>
      <c r="BPK37" s="759"/>
      <c r="BPL37" s="759"/>
      <c r="BPM37" s="759"/>
      <c r="BPN37" s="759"/>
      <c r="BPO37" s="759"/>
      <c r="BPP37" s="759"/>
      <c r="BPQ37" s="759"/>
      <c r="BPR37" s="759"/>
      <c r="BPS37" s="759"/>
      <c r="BPT37" s="759"/>
      <c r="BPU37" s="759"/>
      <c r="BPV37" s="759"/>
      <c r="BPW37" s="759"/>
      <c r="BPX37" s="759"/>
      <c r="BPY37" s="759"/>
      <c r="BPZ37" s="759"/>
      <c r="BQA37" s="759"/>
      <c r="BQB37" s="759"/>
      <c r="BQC37" s="759"/>
      <c r="BQD37" s="759"/>
      <c r="BQE37" s="759"/>
      <c r="BQF37" s="759"/>
      <c r="BQG37" s="759"/>
      <c r="BQH37" s="759"/>
      <c r="BQI37" s="759"/>
      <c r="BQJ37" s="759"/>
      <c r="BQK37" s="759"/>
      <c r="BQL37" s="759"/>
      <c r="BQM37" s="759"/>
      <c r="BQN37" s="759"/>
      <c r="BQO37" s="759"/>
      <c r="BQP37" s="759"/>
      <c r="BQQ37" s="759"/>
      <c r="BQR37" s="759"/>
      <c r="BQS37" s="759"/>
      <c r="BQT37" s="759"/>
      <c r="BQU37" s="759"/>
      <c r="BQV37" s="759"/>
      <c r="BQW37" s="759"/>
      <c r="BQX37" s="759"/>
      <c r="BQY37" s="759"/>
      <c r="BQZ37" s="759"/>
      <c r="BRA37" s="759"/>
      <c r="BRB37" s="759"/>
      <c r="BRC37" s="759"/>
      <c r="BRD37" s="759"/>
      <c r="BRE37" s="759"/>
      <c r="BRF37" s="759"/>
      <c r="BRG37" s="759"/>
      <c r="BRH37" s="759"/>
      <c r="BRI37" s="759"/>
      <c r="BRJ37" s="759"/>
      <c r="BRK37" s="759"/>
      <c r="BRL37" s="759"/>
      <c r="BRM37" s="759"/>
      <c r="BRN37" s="759"/>
      <c r="BRO37" s="759"/>
      <c r="BRP37" s="759"/>
      <c r="BRQ37" s="759"/>
      <c r="BRR37" s="759"/>
      <c r="BRS37" s="759"/>
      <c r="BRT37" s="759"/>
      <c r="BRU37" s="759"/>
      <c r="BRV37" s="759"/>
      <c r="BRW37" s="759"/>
      <c r="BRX37" s="759"/>
      <c r="BRY37" s="759"/>
      <c r="BRZ37" s="759"/>
      <c r="BSA37" s="759"/>
      <c r="BSB37" s="759"/>
      <c r="BSC37" s="759"/>
      <c r="BSD37" s="759"/>
      <c r="BSE37" s="759"/>
      <c r="BSF37" s="759"/>
      <c r="BSG37" s="759"/>
      <c r="BSH37" s="759"/>
      <c r="BSI37" s="759"/>
      <c r="BSJ37" s="759"/>
      <c r="BSK37" s="759"/>
      <c r="BSL37" s="759"/>
      <c r="BSM37" s="759"/>
      <c r="BSN37" s="759"/>
      <c r="BSO37" s="759"/>
      <c r="BSP37" s="759"/>
      <c r="BSQ37" s="759"/>
      <c r="BSR37" s="759"/>
      <c r="BSS37" s="759"/>
      <c r="BST37" s="759"/>
      <c r="BSU37" s="759"/>
      <c r="BSV37" s="759"/>
      <c r="BSW37" s="759"/>
      <c r="BSX37" s="759"/>
      <c r="BSY37" s="759"/>
      <c r="BSZ37" s="759"/>
      <c r="BTA37" s="759"/>
      <c r="BTB37" s="759"/>
      <c r="BTC37" s="759"/>
      <c r="BTD37" s="759"/>
      <c r="BTE37" s="759"/>
      <c r="BTF37" s="759"/>
      <c r="BTG37" s="759"/>
      <c r="BTH37" s="759"/>
      <c r="BTI37" s="759"/>
      <c r="BTJ37" s="759"/>
      <c r="BTK37" s="759"/>
      <c r="BTL37" s="759"/>
      <c r="BTM37" s="759"/>
      <c r="BTN37" s="759"/>
      <c r="BTO37" s="759"/>
      <c r="BTP37" s="759"/>
      <c r="BTQ37" s="759"/>
      <c r="BTR37" s="759"/>
      <c r="BTS37" s="759"/>
      <c r="BTT37" s="759"/>
      <c r="BTU37" s="759"/>
      <c r="BTV37" s="759"/>
      <c r="BTW37" s="759"/>
      <c r="BTX37" s="759"/>
      <c r="BTY37" s="759"/>
      <c r="BTZ37" s="759"/>
      <c r="BUA37" s="759"/>
      <c r="BUB37" s="759"/>
      <c r="BUC37" s="759"/>
      <c r="BUD37" s="759"/>
      <c r="BUE37" s="759"/>
      <c r="BUF37" s="759"/>
      <c r="BUG37" s="759"/>
      <c r="BUH37" s="759"/>
      <c r="BUI37" s="759"/>
      <c r="BUJ37" s="759"/>
      <c r="BUK37" s="759"/>
      <c r="BUL37" s="759"/>
      <c r="BUM37" s="759"/>
      <c r="BUN37" s="759"/>
      <c r="BUO37" s="759"/>
      <c r="BUP37" s="759"/>
      <c r="BUQ37" s="759"/>
      <c r="BUR37" s="759"/>
      <c r="BUS37" s="759"/>
      <c r="BUT37" s="759"/>
      <c r="BUU37" s="759"/>
      <c r="BUV37" s="759"/>
      <c r="BUW37" s="759"/>
      <c r="BUX37" s="759"/>
      <c r="BUY37" s="759"/>
      <c r="BUZ37" s="759"/>
      <c r="BVA37" s="759"/>
      <c r="BVB37" s="759"/>
      <c r="BVC37" s="759"/>
      <c r="BVD37" s="759"/>
      <c r="BVE37" s="759"/>
      <c r="BVF37" s="759"/>
      <c r="BVG37" s="759"/>
      <c r="BVH37" s="759"/>
      <c r="BVI37" s="759"/>
      <c r="BVJ37" s="759"/>
      <c r="BVK37" s="759"/>
      <c r="BVL37" s="759"/>
      <c r="BVM37" s="759"/>
      <c r="BVN37" s="759"/>
      <c r="BVO37" s="759"/>
      <c r="BVP37" s="759"/>
      <c r="BVQ37" s="759"/>
      <c r="BVR37" s="759"/>
      <c r="BVS37" s="759"/>
      <c r="BVT37" s="759"/>
      <c r="BVU37" s="759"/>
      <c r="BVV37" s="759"/>
      <c r="BVW37" s="759"/>
      <c r="BVX37" s="759"/>
      <c r="BVY37" s="759"/>
      <c r="BVZ37" s="759"/>
      <c r="BWA37" s="759"/>
      <c r="BWB37" s="759"/>
      <c r="BWC37" s="759"/>
      <c r="BWD37" s="759"/>
      <c r="BWE37" s="759"/>
      <c r="BWF37" s="759"/>
      <c r="BWG37" s="759"/>
      <c r="BWH37" s="759"/>
      <c r="BWI37" s="759"/>
      <c r="BWJ37" s="759"/>
      <c r="BWK37" s="759"/>
      <c r="BWL37" s="759"/>
      <c r="BWM37" s="759"/>
      <c r="BWN37" s="759"/>
      <c r="BWO37" s="759"/>
      <c r="BWP37" s="759"/>
      <c r="BWQ37" s="759"/>
      <c r="BWR37" s="759"/>
      <c r="BWS37" s="759"/>
      <c r="BWT37" s="759"/>
      <c r="BWU37" s="759"/>
      <c r="BWV37" s="759"/>
      <c r="BWW37" s="759"/>
      <c r="BWX37" s="759"/>
      <c r="BWY37" s="759"/>
      <c r="BWZ37" s="759"/>
      <c r="BXA37" s="759"/>
      <c r="BXB37" s="759"/>
      <c r="BXC37" s="759"/>
      <c r="BXD37" s="759"/>
      <c r="BXE37" s="759"/>
      <c r="BXF37" s="759"/>
      <c r="BXG37" s="759"/>
      <c r="BXH37" s="759"/>
      <c r="BXI37" s="759"/>
      <c r="BXJ37" s="759"/>
      <c r="BXK37" s="759"/>
      <c r="BXL37" s="759"/>
      <c r="BXM37" s="759"/>
      <c r="BXN37" s="759"/>
      <c r="BXO37" s="759"/>
      <c r="BXP37" s="759"/>
      <c r="BXQ37" s="759"/>
      <c r="BXR37" s="759"/>
      <c r="BXS37" s="759"/>
      <c r="BXT37" s="759"/>
      <c r="BXU37" s="759"/>
      <c r="BXV37" s="759"/>
      <c r="BXW37" s="759"/>
      <c r="BXX37" s="759"/>
      <c r="BXY37" s="759"/>
      <c r="BXZ37" s="759"/>
      <c r="BYA37" s="759"/>
      <c r="BYB37" s="759"/>
      <c r="BYC37" s="759"/>
      <c r="BYD37" s="759"/>
      <c r="BYE37" s="759"/>
      <c r="BYF37" s="759"/>
      <c r="BYG37" s="759"/>
      <c r="BYH37" s="759"/>
      <c r="BYI37" s="759"/>
      <c r="BYJ37" s="759"/>
      <c r="BYK37" s="759"/>
      <c r="BYL37" s="759"/>
      <c r="BYM37" s="759"/>
      <c r="BYN37" s="759"/>
      <c r="BYO37" s="759"/>
      <c r="BYP37" s="759"/>
      <c r="BYQ37" s="759"/>
      <c r="BYR37" s="759"/>
      <c r="BYS37" s="759"/>
      <c r="BYT37" s="759"/>
      <c r="BYU37" s="759"/>
      <c r="BYV37" s="759"/>
      <c r="BYW37" s="759"/>
      <c r="BYX37" s="759"/>
      <c r="BYY37" s="759"/>
      <c r="BYZ37" s="759"/>
      <c r="BZA37" s="759"/>
      <c r="BZB37" s="759"/>
      <c r="BZC37" s="759"/>
      <c r="BZD37" s="759"/>
      <c r="BZE37" s="759"/>
      <c r="BZF37" s="759"/>
      <c r="BZG37" s="759"/>
      <c r="BZH37" s="759"/>
      <c r="BZI37" s="759"/>
      <c r="BZJ37" s="759"/>
      <c r="BZK37" s="759"/>
      <c r="BZL37" s="759"/>
      <c r="BZM37" s="759"/>
      <c r="BZN37" s="759"/>
      <c r="BZO37" s="759"/>
      <c r="BZP37" s="759"/>
      <c r="BZQ37" s="759"/>
      <c r="BZR37" s="759"/>
      <c r="BZS37" s="759"/>
      <c r="BZT37" s="759"/>
      <c r="BZU37" s="759"/>
      <c r="BZV37" s="759"/>
      <c r="BZW37" s="759"/>
      <c r="BZX37" s="759"/>
      <c r="BZY37" s="759"/>
      <c r="BZZ37" s="759"/>
      <c r="CAA37" s="759"/>
      <c r="CAB37" s="759"/>
      <c r="CAC37" s="759"/>
      <c r="CAD37" s="759"/>
      <c r="CAE37" s="759"/>
      <c r="CAF37" s="759"/>
      <c r="CAG37" s="759"/>
      <c r="CAH37" s="759"/>
      <c r="CAI37" s="759"/>
      <c r="CAJ37" s="759"/>
      <c r="CAK37" s="759"/>
      <c r="CAL37" s="759"/>
      <c r="CAM37" s="759"/>
      <c r="CAN37" s="759"/>
      <c r="CAO37" s="759"/>
      <c r="CAP37" s="759"/>
      <c r="CAQ37" s="759"/>
      <c r="CAR37" s="759"/>
      <c r="CAS37" s="759"/>
      <c r="CAT37" s="759"/>
      <c r="CAU37" s="759"/>
      <c r="CAV37" s="759"/>
      <c r="CAW37" s="759"/>
      <c r="CAX37" s="759"/>
      <c r="CAY37" s="759"/>
      <c r="CAZ37" s="759"/>
      <c r="CBA37" s="759"/>
      <c r="CBB37" s="759"/>
      <c r="CBC37" s="759"/>
      <c r="CBD37" s="759"/>
      <c r="CBE37" s="759"/>
      <c r="CBF37" s="759"/>
      <c r="CBG37" s="759"/>
      <c r="CBH37" s="759"/>
      <c r="CBI37" s="759"/>
      <c r="CBJ37" s="759"/>
      <c r="CBK37" s="759"/>
      <c r="CBL37" s="759"/>
      <c r="CBM37" s="759"/>
      <c r="CBN37" s="759"/>
      <c r="CBO37" s="759"/>
      <c r="CBP37" s="759"/>
      <c r="CBQ37" s="759"/>
      <c r="CBR37" s="759"/>
      <c r="CBS37" s="759"/>
      <c r="CBT37" s="759"/>
      <c r="CBU37" s="759"/>
      <c r="CBV37" s="759"/>
      <c r="CBW37" s="759"/>
      <c r="CBX37" s="759"/>
      <c r="CBY37" s="759"/>
      <c r="CBZ37" s="759"/>
      <c r="CCA37" s="759"/>
      <c r="CCB37" s="759"/>
      <c r="CCC37" s="759"/>
      <c r="CCD37" s="759"/>
      <c r="CCE37" s="759"/>
      <c r="CCF37" s="759"/>
      <c r="CCG37" s="759"/>
      <c r="CCH37" s="759"/>
      <c r="CCI37" s="759"/>
      <c r="CCJ37" s="759"/>
      <c r="CCK37" s="759"/>
      <c r="CCL37" s="759"/>
      <c r="CCM37" s="759"/>
      <c r="CCN37" s="759"/>
      <c r="CCO37" s="759"/>
      <c r="CCP37" s="759"/>
      <c r="CCQ37" s="759"/>
      <c r="CCR37" s="759"/>
      <c r="CCS37" s="759"/>
      <c r="CCT37" s="759"/>
      <c r="CCU37" s="759"/>
      <c r="CCV37" s="759"/>
      <c r="CCW37" s="759"/>
      <c r="CCX37" s="759"/>
      <c r="CCY37" s="759"/>
      <c r="CCZ37" s="759"/>
      <c r="CDA37" s="759"/>
      <c r="CDB37" s="759"/>
      <c r="CDC37" s="759"/>
      <c r="CDD37" s="759"/>
      <c r="CDE37" s="759"/>
      <c r="CDF37" s="759"/>
      <c r="CDG37" s="759"/>
      <c r="CDH37" s="759"/>
      <c r="CDI37" s="759"/>
      <c r="CDJ37" s="759"/>
      <c r="CDK37" s="759"/>
      <c r="CDL37" s="759"/>
      <c r="CDM37" s="759"/>
      <c r="CDN37" s="759"/>
      <c r="CDO37" s="759"/>
      <c r="CDP37" s="759"/>
      <c r="CDQ37" s="759"/>
      <c r="CDR37" s="759"/>
      <c r="CDS37" s="759"/>
      <c r="CDT37" s="759"/>
      <c r="CDU37" s="759"/>
      <c r="CDV37" s="759"/>
      <c r="CDW37" s="759"/>
      <c r="CDX37" s="759"/>
      <c r="CDY37" s="759"/>
      <c r="CDZ37" s="759"/>
      <c r="CEA37" s="759"/>
      <c r="CEB37" s="759"/>
      <c r="CEC37" s="759"/>
      <c r="CED37" s="759"/>
      <c r="CEE37" s="759"/>
      <c r="CEF37" s="759"/>
      <c r="CEG37" s="759"/>
      <c r="CEH37" s="759"/>
      <c r="CEI37" s="759"/>
      <c r="CEJ37" s="759"/>
      <c r="CEK37" s="759"/>
      <c r="CEL37" s="759"/>
      <c r="CEM37" s="759"/>
      <c r="CEN37" s="759"/>
      <c r="CEO37" s="759"/>
      <c r="CEP37" s="759"/>
      <c r="CEQ37" s="759"/>
      <c r="CER37" s="759"/>
      <c r="CES37" s="759"/>
      <c r="CET37" s="759"/>
      <c r="CEU37" s="759"/>
      <c r="CEV37" s="759"/>
      <c r="CEW37" s="759"/>
      <c r="CEX37" s="759"/>
      <c r="CEY37" s="759"/>
      <c r="CEZ37" s="759"/>
      <c r="CFA37" s="759"/>
      <c r="CFB37" s="759"/>
      <c r="CFC37" s="759"/>
      <c r="CFD37" s="759"/>
      <c r="CFE37" s="759"/>
      <c r="CFF37" s="759"/>
      <c r="CFG37" s="759"/>
      <c r="CFH37" s="759"/>
      <c r="CFI37" s="759"/>
      <c r="CFJ37" s="759"/>
      <c r="CFK37" s="759"/>
      <c r="CFL37" s="759"/>
      <c r="CFM37" s="759"/>
      <c r="CFN37" s="759"/>
      <c r="CFO37" s="759"/>
      <c r="CFP37" s="759"/>
      <c r="CFQ37" s="759"/>
      <c r="CFR37" s="759"/>
      <c r="CFS37" s="759"/>
      <c r="CFT37" s="759"/>
      <c r="CFU37" s="759"/>
      <c r="CFV37" s="759"/>
      <c r="CFW37" s="759"/>
      <c r="CFX37" s="759"/>
      <c r="CFY37" s="759"/>
      <c r="CFZ37" s="759"/>
      <c r="CGA37" s="759"/>
      <c r="CGB37" s="759"/>
      <c r="CGC37" s="759"/>
      <c r="CGD37" s="759"/>
      <c r="CGE37" s="759"/>
      <c r="CGF37" s="759"/>
      <c r="CGG37" s="759"/>
      <c r="CGH37" s="759"/>
      <c r="CGI37" s="759"/>
      <c r="CGJ37" s="759"/>
      <c r="CGK37" s="759"/>
      <c r="CGL37" s="759"/>
      <c r="CGM37" s="759"/>
      <c r="CGN37" s="759"/>
      <c r="CGO37" s="759"/>
      <c r="CGP37" s="759"/>
      <c r="CGQ37" s="759"/>
      <c r="CGR37" s="759"/>
      <c r="CGS37" s="759"/>
      <c r="CGT37" s="759"/>
      <c r="CGU37" s="759"/>
      <c r="CGV37" s="759"/>
      <c r="CGW37" s="759"/>
      <c r="CGX37" s="759"/>
      <c r="CGY37" s="759"/>
      <c r="CGZ37" s="759"/>
      <c r="CHA37" s="759"/>
      <c r="CHB37" s="759"/>
      <c r="CHC37" s="759"/>
      <c r="CHD37" s="759"/>
      <c r="CHE37" s="759"/>
      <c r="CHF37" s="759"/>
      <c r="CHG37" s="759"/>
      <c r="CHH37" s="759"/>
      <c r="CHI37" s="759"/>
      <c r="CHJ37" s="759"/>
      <c r="CHK37" s="759"/>
      <c r="CHL37" s="759"/>
      <c r="CHM37" s="759"/>
      <c r="CHN37" s="759"/>
      <c r="CHO37" s="759"/>
      <c r="CHP37" s="759"/>
      <c r="CHQ37" s="759"/>
      <c r="CHR37" s="759"/>
      <c r="CHS37" s="759"/>
      <c r="CHT37" s="759"/>
      <c r="CHU37" s="759"/>
      <c r="CHV37" s="759"/>
      <c r="CHW37" s="759"/>
      <c r="CHX37" s="759"/>
      <c r="CHY37" s="759"/>
      <c r="CHZ37" s="759"/>
      <c r="CIA37" s="759"/>
      <c r="CIB37" s="759"/>
      <c r="CIC37" s="759"/>
      <c r="CID37" s="759"/>
      <c r="CIE37" s="759"/>
      <c r="CIF37" s="759"/>
      <c r="CIG37" s="759"/>
      <c r="CIH37" s="759"/>
      <c r="CII37" s="759"/>
      <c r="CIJ37" s="759"/>
      <c r="CIK37" s="759"/>
      <c r="CIL37" s="759"/>
      <c r="CIM37" s="759"/>
      <c r="CIN37" s="759"/>
      <c r="CIO37" s="759"/>
      <c r="CIP37" s="759"/>
      <c r="CIQ37" s="759"/>
      <c r="CIR37" s="759"/>
      <c r="CIS37" s="759"/>
      <c r="CIT37" s="759"/>
      <c r="CIU37" s="759"/>
      <c r="CIV37" s="759"/>
      <c r="CIW37" s="759"/>
      <c r="CIX37" s="759"/>
      <c r="CIY37" s="759"/>
      <c r="CIZ37" s="759"/>
      <c r="CJA37" s="759"/>
      <c r="CJB37" s="759"/>
      <c r="CJC37" s="759"/>
      <c r="CJD37" s="759"/>
      <c r="CJE37" s="759"/>
      <c r="CJF37" s="759"/>
      <c r="CJG37" s="759"/>
      <c r="CJH37" s="759"/>
      <c r="CJI37" s="759"/>
      <c r="CJJ37" s="759"/>
      <c r="CJK37" s="759"/>
      <c r="CJL37" s="759"/>
      <c r="CJM37" s="759"/>
      <c r="CJN37" s="759"/>
      <c r="CJO37" s="759"/>
      <c r="CJP37" s="759"/>
      <c r="CJQ37" s="759"/>
      <c r="CJR37" s="759"/>
      <c r="CJS37" s="759"/>
      <c r="CJT37" s="759"/>
      <c r="CJU37" s="759"/>
      <c r="CJV37" s="759"/>
      <c r="CJW37" s="759"/>
      <c r="CJX37" s="759"/>
      <c r="CJY37" s="759"/>
      <c r="CJZ37" s="759"/>
      <c r="CKA37" s="759"/>
      <c r="CKB37" s="759"/>
      <c r="CKC37" s="759"/>
      <c r="CKD37" s="759"/>
      <c r="CKE37" s="759"/>
      <c r="CKF37" s="759"/>
      <c r="CKG37" s="759"/>
      <c r="CKH37" s="759"/>
      <c r="CKI37" s="759"/>
      <c r="CKJ37" s="759"/>
      <c r="CKK37" s="759"/>
      <c r="CKL37" s="759"/>
      <c r="CKM37" s="759"/>
      <c r="CKN37" s="759"/>
      <c r="CKO37" s="759"/>
      <c r="CKP37" s="759"/>
      <c r="CKQ37" s="759"/>
      <c r="CKR37" s="759"/>
      <c r="CKS37" s="759"/>
      <c r="CKT37" s="759"/>
      <c r="CKU37" s="759"/>
      <c r="CKV37" s="759"/>
      <c r="CKW37" s="759"/>
      <c r="CKX37" s="759"/>
      <c r="CKY37" s="759"/>
      <c r="CKZ37" s="759"/>
      <c r="CLA37" s="759"/>
      <c r="CLB37" s="759"/>
      <c r="CLC37" s="759"/>
      <c r="CLD37" s="759"/>
      <c r="CLE37" s="759"/>
      <c r="CLF37" s="759"/>
      <c r="CLG37" s="759"/>
      <c r="CLH37" s="759"/>
      <c r="CLI37" s="759"/>
      <c r="CLJ37" s="759"/>
      <c r="CLK37" s="759"/>
      <c r="CLL37" s="759"/>
      <c r="CLM37" s="759"/>
      <c r="CLN37" s="759"/>
      <c r="CLO37" s="759"/>
      <c r="CLP37" s="759"/>
      <c r="CLQ37" s="759"/>
      <c r="CLR37" s="759"/>
      <c r="CLS37" s="759"/>
      <c r="CLT37" s="759"/>
      <c r="CLU37" s="759"/>
      <c r="CLV37" s="759"/>
      <c r="CLW37" s="759"/>
      <c r="CLX37" s="759"/>
      <c r="CLY37" s="759"/>
      <c r="CLZ37" s="759"/>
      <c r="CMA37" s="759"/>
      <c r="CMB37" s="759"/>
      <c r="CMC37" s="759"/>
      <c r="CMD37" s="759"/>
      <c r="CME37" s="759"/>
      <c r="CMF37" s="759"/>
      <c r="CMG37" s="759"/>
      <c r="CMH37" s="759"/>
      <c r="CMI37" s="759"/>
      <c r="CMJ37" s="759"/>
      <c r="CMK37" s="759"/>
      <c r="CML37" s="759"/>
      <c r="CMM37" s="759"/>
      <c r="CMN37" s="759"/>
      <c r="CMO37" s="759"/>
      <c r="CMP37" s="759"/>
      <c r="CMQ37" s="759"/>
      <c r="CMR37" s="759"/>
      <c r="CMS37" s="759"/>
      <c r="CMT37" s="759"/>
      <c r="CMU37" s="759"/>
      <c r="CMV37" s="759"/>
      <c r="CMW37" s="759"/>
      <c r="CMX37" s="759"/>
      <c r="CMY37" s="759"/>
      <c r="CMZ37" s="759"/>
      <c r="CNA37" s="759"/>
      <c r="CNB37" s="759"/>
      <c r="CNC37" s="759"/>
      <c r="CND37" s="759"/>
      <c r="CNE37" s="759"/>
      <c r="CNF37" s="759"/>
      <c r="CNG37" s="759"/>
      <c r="CNH37" s="759"/>
      <c r="CNI37" s="759"/>
      <c r="CNJ37" s="759"/>
      <c r="CNK37" s="759"/>
      <c r="CNL37" s="759"/>
      <c r="CNM37" s="759"/>
      <c r="CNN37" s="759"/>
      <c r="CNO37" s="759"/>
      <c r="CNP37" s="759"/>
      <c r="CNQ37" s="759"/>
      <c r="CNR37" s="759"/>
      <c r="CNS37" s="759"/>
      <c r="CNT37" s="759"/>
      <c r="CNU37" s="759"/>
      <c r="CNV37" s="759"/>
      <c r="CNW37" s="759"/>
      <c r="CNX37" s="759"/>
      <c r="CNY37" s="759"/>
      <c r="CNZ37" s="759"/>
      <c r="COA37" s="759"/>
      <c r="COB37" s="759"/>
      <c r="COC37" s="759"/>
      <c r="COD37" s="759"/>
      <c r="COE37" s="759"/>
      <c r="COF37" s="759"/>
      <c r="COG37" s="759"/>
      <c r="COH37" s="759"/>
      <c r="COI37" s="759"/>
      <c r="COJ37" s="759"/>
      <c r="COK37" s="759"/>
      <c r="COL37" s="759"/>
      <c r="COM37" s="759"/>
      <c r="CON37" s="759"/>
      <c r="COO37" s="759"/>
      <c r="COP37" s="759"/>
      <c r="COQ37" s="759"/>
      <c r="COR37" s="759"/>
      <c r="COS37" s="759"/>
      <c r="COT37" s="759"/>
      <c r="COU37" s="759"/>
      <c r="COV37" s="759"/>
      <c r="COW37" s="759"/>
      <c r="COX37" s="759"/>
      <c r="COY37" s="759"/>
      <c r="COZ37" s="759"/>
      <c r="CPA37" s="759"/>
      <c r="CPB37" s="759"/>
      <c r="CPC37" s="759"/>
      <c r="CPD37" s="759"/>
      <c r="CPE37" s="759"/>
      <c r="CPF37" s="759"/>
      <c r="CPG37" s="759"/>
      <c r="CPH37" s="759"/>
      <c r="CPI37" s="759"/>
      <c r="CPJ37" s="759"/>
      <c r="CPK37" s="759"/>
      <c r="CPL37" s="759"/>
      <c r="CPM37" s="759"/>
      <c r="CPN37" s="759"/>
      <c r="CPO37" s="759"/>
      <c r="CPP37" s="759"/>
      <c r="CPQ37" s="759"/>
      <c r="CPR37" s="759"/>
      <c r="CPS37" s="759"/>
      <c r="CPT37" s="759"/>
      <c r="CPU37" s="759"/>
      <c r="CPV37" s="759"/>
      <c r="CPW37" s="759"/>
      <c r="CPX37" s="759"/>
      <c r="CPY37" s="759"/>
      <c r="CPZ37" s="759"/>
      <c r="CQA37" s="759"/>
      <c r="CQB37" s="759"/>
      <c r="CQC37" s="759"/>
      <c r="CQD37" s="759"/>
      <c r="CQE37" s="759"/>
      <c r="CQF37" s="759"/>
      <c r="CQG37" s="759"/>
      <c r="CQH37" s="759"/>
      <c r="CQI37" s="759"/>
      <c r="CQJ37" s="759"/>
      <c r="CQK37" s="759"/>
      <c r="CQL37" s="759"/>
      <c r="CQM37" s="759"/>
      <c r="CQN37" s="759"/>
      <c r="CQO37" s="759"/>
      <c r="CQP37" s="759"/>
      <c r="CQQ37" s="759"/>
      <c r="CQR37" s="759"/>
      <c r="CQS37" s="759"/>
      <c r="CQT37" s="759"/>
      <c r="CQU37" s="759"/>
      <c r="CQV37" s="759"/>
      <c r="CQW37" s="759"/>
      <c r="CQX37" s="759"/>
      <c r="CQY37" s="759"/>
      <c r="CQZ37" s="759"/>
      <c r="CRA37" s="759"/>
      <c r="CRB37" s="759"/>
      <c r="CRC37" s="759"/>
      <c r="CRD37" s="759"/>
      <c r="CRE37" s="759"/>
      <c r="CRF37" s="759"/>
      <c r="CRG37" s="759"/>
      <c r="CRH37" s="759"/>
      <c r="CRI37" s="759"/>
      <c r="CRJ37" s="759"/>
      <c r="CRK37" s="759"/>
      <c r="CRL37" s="759"/>
      <c r="CRM37" s="759"/>
      <c r="CRN37" s="759"/>
      <c r="CRO37" s="759"/>
      <c r="CRP37" s="759"/>
      <c r="CRQ37" s="759"/>
      <c r="CRR37" s="759"/>
      <c r="CRS37" s="759"/>
      <c r="CRT37" s="759"/>
      <c r="CRU37" s="759"/>
      <c r="CRV37" s="759"/>
      <c r="CRW37" s="759"/>
      <c r="CRX37" s="759"/>
      <c r="CRY37" s="759"/>
      <c r="CRZ37" s="759"/>
      <c r="CSA37" s="759"/>
      <c r="CSB37" s="759"/>
      <c r="CSC37" s="759"/>
      <c r="CSD37" s="759"/>
      <c r="CSE37" s="759"/>
      <c r="CSF37" s="759"/>
      <c r="CSG37" s="759"/>
      <c r="CSH37" s="759"/>
      <c r="CSI37" s="759"/>
      <c r="CSJ37" s="759"/>
      <c r="CSK37" s="759"/>
      <c r="CSL37" s="759"/>
      <c r="CSM37" s="759"/>
      <c r="CSN37" s="759"/>
      <c r="CSO37" s="759"/>
      <c r="CSP37" s="759"/>
      <c r="CSQ37" s="759"/>
      <c r="CSR37" s="759"/>
      <c r="CSS37" s="759"/>
      <c r="CST37" s="759"/>
      <c r="CSU37" s="759"/>
      <c r="CSV37" s="759"/>
      <c r="CSW37" s="759"/>
      <c r="CSX37" s="759"/>
      <c r="CSY37" s="759"/>
      <c r="CSZ37" s="759"/>
      <c r="CTA37" s="759"/>
      <c r="CTB37" s="759"/>
      <c r="CTC37" s="759"/>
      <c r="CTD37" s="759"/>
      <c r="CTE37" s="759"/>
      <c r="CTF37" s="759"/>
      <c r="CTG37" s="759"/>
      <c r="CTH37" s="759"/>
      <c r="CTI37" s="759"/>
      <c r="CTJ37" s="759"/>
      <c r="CTK37" s="759"/>
      <c r="CTL37" s="759"/>
      <c r="CTM37" s="759"/>
      <c r="CTN37" s="759"/>
      <c r="CTO37" s="759"/>
      <c r="CTP37" s="759"/>
      <c r="CTQ37" s="759"/>
      <c r="CTR37" s="759"/>
      <c r="CTS37" s="759"/>
      <c r="CTT37" s="759"/>
      <c r="CTU37" s="759"/>
      <c r="CTV37" s="759"/>
      <c r="CTW37" s="759"/>
      <c r="CTX37" s="759"/>
      <c r="CTY37" s="759"/>
      <c r="CTZ37" s="759"/>
      <c r="CUA37" s="759"/>
      <c r="CUB37" s="759"/>
      <c r="CUC37" s="759"/>
      <c r="CUD37" s="759"/>
      <c r="CUE37" s="759"/>
      <c r="CUF37" s="759"/>
      <c r="CUG37" s="759"/>
      <c r="CUH37" s="759"/>
      <c r="CUI37" s="759"/>
      <c r="CUJ37" s="759"/>
      <c r="CUK37" s="759"/>
      <c r="CUL37" s="759"/>
      <c r="CUM37" s="759"/>
      <c r="CUN37" s="759"/>
      <c r="CUO37" s="759"/>
      <c r="CUP37" s="759"/>
      <c r="CUQ37" s="759"/>
      <c r="CUR37" s="759"/>
      <c r="CUS37" s="759"/>
      <c r="CUT37" s="759"/>
      <c r="CUU37" s="759"/>
      <c r="CUV37" s="759"/>
      <c r="CUW37" s="759"/>
      <c r="CUX37" s="759"/>
      <c r="CUY37" s="759"/>
      <c r="CUZ37" s="759"/>
      <c r="CVA37" s="759"/>
      <c r="CVB37" s="759"/>
      <c r="CVC37" s="759"/>
      <c r="CVD37" s="759"/>
      <c r="CVE37" s="759"/>
      <c r="CVF37" s="759"/>
      <c r="CVG37" s="759"/>
      <c r="CVH37" s="759"/>
      <c r="CVI37" s="759"/>
      <c r="CVJ37" s="759"/>
      <c r="CVK37" s="759"/>
      <c r="CVL37" s="759"/>
      <c r="CVM37" s="759"/>
      <c r="CVN37" s="759"/>
      <c r="CVO37" s="759"/>
      <c r="CVP37" s="759"/>
      <c r="CVQ37" s="759"/>
      <c r="CVR37" s="759"/>
      <c r="CVS37" s="759"/>
      <c r="CVT37" s="759"/>
      <c r="CVU37" s="759"/>
      <c r="CVV37" s="759"/>
      <c r="CVW37" s="759"/>
      <c r="CVX37" s="759"/>
      <c r="CVY37" s="759"/>
      <c r="CVZ37" s="759"/>
      <c r="CWA37" s="759"/>
      <c r="CWB37" s="759"/>
      <c r="CWC37" s="759"/>
      <c r="CWD37" s="759"/>
      <c r="CWE37" s="759"/>
      <c r="CWF37" s="759"/>
      <c r="CWG37" s="759"/>
      <c r="CWH37" s="759"/>
      <c r="CWI37" s="759"/>
      <c r="CWJ37" s="759"/>
      <c r="CWK37" s="759"/>
      <c r="CWL37" s="759"/>
      <c r="CWM37" s="759"/>
      <c r="CWN37" s="759"/>
      <c r="CWO37" s="759"/>
      <c r="CWP37" s="759"/>
      <c r="CWQ37" s="759"/>
      <c r="CWR37" s="759"/>
      <c r="CWS37" s="759"/>
      <c r="CWT37" s="759"/>
      <c r="CWU37" s="759"/>
      <c r="CWV37" s="759"/>
      <c r="CWW37" s="759"/>
      <c r="CWX37" s="759"/>
      <c r="CWY37" s="759"/>
      <c r="CWZ37" s="759"/>
      <c r="CXA37" s="759"/>
      <c r="CXB37" s="759"/>
      <c r="CXC37" s="759"/>
      <c r="CXD37" s="759"/>
      <c r="CXE37" s="759"/>
      <c r="CXF37" s="759"/>
      <c r="CXG37" s="759"/>
      <c r="CXH37" s="759"/>
      <c r="CXI37" s="759"/>
      <c r="CXJ37" s="759"/>
      <c r="CXK37" s="759"/>
      <c r="CXL37" s="759"/>
      <c r="CXM37" s="759"/>
      <c r="CXN37" s="759"/>
      <c r="CXO37" s="759"/>
      <c r="CXP37" s="759"/>
      <c r="CXQ37" s="759"/>
      <c r="CXR37" s="759"/>
      <c r="CXS37" s="759"/>
      <c r="CXT37" s="759"/>
      <c r="CXU37" s="759"/>
      <c r="CXV37" s="759"/>
      <c r="CXW37" s="759"/>
      <c r="CXX37" s="759"/>
      <c r="CXY37" s="759"/>
      <c r="CXZ37" s="759"/>
      <c r="CYA37" s="759"/>
      <c r="CYB37" s="759"/>
      <c r="CYC37" s="759"/>
      <c r="CYD37" s="759"/>
      <c r="CYE37" s="759"/>
      <c r="CYF37" s="759"/>
      <c r="CYG37" s="759"/>
      <c r="CYH37" s="759"/>
      <c r="CYI37" s="759"/>
      <c r="CYJ37" s="759"/>
      <c r="CYK37" s="759"/>
      <c r="CYL37" s="759"/>
      <c r="CYM37" s="759"/>
      <c r="CYN37" s="759"/>
      <c r="CYO37" s="759"/>
      <c r="CYP37" s="759"/>
      <c r="CYQ37" s="759"/>
      <c r="CYR37" s="759"/>
      <c r="CYS37" s="759"/>
      <c r="CYT37" s="759"/>
      <c r="CYU37" s="759"/>
      <c r="CYV37" s="759"/>
      <c r="CYW37" s="759"/>
      <c r="CYX37" s="759"/>
      <c r="CYY37" s="759"/>
      <c r="CYZ37" s="759"/>
      <c r="CZA37" s="759"/>
      <c r="CZB37" s="759"/>
      <c r="CZC37" s="759"/>
      <c r="CZD37" s="759"/>
      <c r="CZE37" s="759"/>
      <c r="CZF37" s="759"/>
      <c r="CZG37" s="759"/>
      <c r="CZH37" s="759"/>
      <c r="CZI37" s="759"/>
      <c r="CZJ37" s="759"/>
      <c r="CZK37" s="759"/>
      <c r="CZL37" s="759"/>
      <c r="CZM37" s="759"/>
      <c r="CZN37" s="759"/>
      <c r="CZO37" s="759"/>
      <c r="CZP37" s="759"/>
      <c r="CZQ37" s="759"/>
      <c r="CZR37" s="759"/>
      <c r="CZS37" s="759"/>
      <c r="CZT37" s="759"/>
      <c r="CZU37" s="759"/>
      <c r="CZV37" s="759"/>
      <c r="CZW37" s="759"/>
      <c r="CZX37" s="759"/>
      <c r="CZY37" s="759"/>
      <c r="CZZ37" s="759"/>
      <c r="DAA37" s="759"/>
      <c r="DAB37" s="759"/>
      <c r="DAC37" s="759"/>
      <c r="DAD37" s="759"/>
      <c r="DAE37" s="759"/>
      <c r="DAF37" s="759"/>
      <c r="DAG37" s="759"/>
      <c r="DAH37" s="759"/>
      <c r="DAI37" s="759"/>
      <c r="DAJ37" s="759"/>
      <c r="DAK37" s="759"/>
      <c r="DAL37" s="759"/>
      <c r="DAM37" s="759"/>
      <c r="DAN37" s="759"/>
      <c r="DAO37" s="759"/>
      <c r="DAP37" s="759"/>
      <c r="DAQ37" s="759"/>
      <c r="DAR37" s="759"/>
      <c r="DAS37" s="759"/>
      <c r="DAT37" s="759"/>
      <c r="DAU37" s="759"/>
      <c r="DAV37" s="759"/>
      <c r="DAW37" s="759"/>
      <c r="DAX37" s="759"/>
      <c r="DAY37" s="759"/>
      <c r="DAZ37" s="759"/>
      <c r="DBA37" s="759"/>
      <c r="DBB37" s="759"/>
      <c r="DBC37" s="759"/>
      <c r="DBD37" s="759"/>
      <c r="DBE37" s="759"/>
      <c r="DBF37" s="759"/>
      <c r="DBG37" s="759"/>
      <c r="DBH37" s="759"/>
      <c r="DBI37" s="759"/>
      <c r="DBJ37" s="759"/>
      <c r="DBK37" s="759"/>
      <c r="DBL37" s="759"/>
      <c r="DBM37" s="759"/>
      <c r="DBN37" s="759"/>
      <c r="DBO37" s="759"/>
      <c r="DBP37" s="759"/>
      <c r="DBQ37" s="759"/>
      <c r="DBR37" s="759"/>
      <c r="DBS37" s="759"/>
      <c r="DBT37" s="759"/>
      <c r="DBU37" s="759"/>
      <c r="DBV37" s="759"/>
      <c r="DBW37" s="759"/>
      <c r="DBX37" s="759"/>
      <c r="DBY37" s="759"/>
      <c r="DBZ37" s="759"/>
      <c r="DCA37" s="759"/>
      <c r="DCB37" s="759"/>
      <c r="DCC37" s="759"/>
      <c r="DCD37" s="759"/>
      <c r="DCE37" s="759"/>
      <c r="DCF37" s="759"/>
      <c r="DCG37" s="759"/>
      <c r="DCH37" s="759"/>
      <c r="DCI37" s="759"/>
      <c r="DCJ37" s="759"/>
      <c r="DCK37" s="759"/>
      <c r="DCL37" s="759"/>
      <c r="DCM37" s="759"/>
      <c r="DCN37" s="759"/>
      <c r="DCO37" s="759"/>
      <c r="DCP37" s="759"/>
      <c r="DCQ37" s="759"/>
      <c r="DCR37" s="759"/>
      <c r="DCS37" s="759"/>
      <c r="DCT37" s="759"/>
      <c r="DCU37" s="759"/>
      <c r="DCV37" s="759"/>
      <c r="DCW37" s="759"/>
      <c r="DCX37" s="759"/>
      <c r="DCY37" s="759"/>
      <c r="DCZ37" s="759"/>
      <c r="DDA37" s="759"/>
      <c r="DDB37" s="759"/>
      <c r="DDC37" s="759"/>
      <c r="DDD37" s="759"/>
      <c r="DDE37" s="759"/>
      <c r="DDF37" s="759"/>
      <c r="DDG37" s="759"/>
      <c r="DDH37" s="759"/>
      <c r="DDI37" s="759"/>
      <c r="DDJ37" s="759"/>
      <c r="DDK37" s="759"/>
      <c r="DDL37" s="759"/>
      <c r="DDM37" s="759"/>
      <c r="DDN37" s="759"/>
      <c r="DDO37" s="759"/>
      <c r="DDP37" s="759"/>
      <c r="DDQ37" s="759"/>
      <c r="DDR37" s="759"/>
      <c r="DDS37" s="759"/>
      <c r="DDT37" s="759"/>
      <c r="DDU37" s="759"/>
      <c r="DDV37" s="759"/>
      <c r="DDW37" s="759"/>
      <c r="DDX37" s="759"/>
      <c r="DDY37" s="759"/>
      <c r="DDZ37" s="759"/>
      <c r="DEA37" s="759"/>
      <c r="DEB37" s="759"/>
      <c r="DEC37" s="759"/>
      <c r="DED37" s="759"/>
      <c r="DEE37" s="759"/>
      <c r="DEF37" s="759"/>
      <c r="DEG37" s="759"/>
      <c r="DEH37" s="759"/>
      <c r="DEI37" s="759"/>
      <c r="DEJ37" s="759"/>
      <c r="DEK37" s="759"/>
      <c r="DEL37" s="759"/>
      <c r="DEM37" s="759"/>
      <c r="DEN37" s="759"/>
      <c r="DEO37" s="759"/>
      <c r="DEP37" s="759"/>
      <c r="DEQ37" s="759"/>
      <c r="DER37" s="759"/>
      <c r="DES37" s="759"/>
      <c r="DET37" s="759"/>
      <c r="DEU37" s="759"/>
      <c r="DEV37" s="759"/>
      <c r="DEW37" s="759"/>
      <c r="DEX37" s="759"/>
      <c r="DEY37" s="759"/>
      <c r="DEZ37" s="759"/>
      <c r="DFA37" s="759"/>
      <c r="DFB37" s="759"/>
      <c r="DFC37" s="759"/>
      <c r="DFD37" s="759"/>
      <c r="DFE37" s="759"/>
      <c r="DFF37" s="759"/>
      <c r="DFG37" s="759"/>
      <c r="DFH37" s="759"/>
      <c r="DFI37" s="759"/>
      <c r="DFJ37" s="759"/>
      <c r="DFK37" s="759"/>
      <c r="DFL37" s="759"/>
      <c r="DFM37" s="759"/>
      <c r="DFN37" s="759"/>
      <c r="DFO37" s="759"/>
      <c r="DFP37" s="759"/>
      <c r="DFQ37" s="759"/>
      <c r="DFR37" s="759"/>
      <c r="DFS37" s="759"/>
      <c r="DFT37" s="759"/>
      <c r="DFU37" s="759"/>
      <c r="DFV37" s="759"/>
      <c r="DFW37" s="759"/>
      <c r="DFX37" s="759"/>
      <c r="DFY37" s="759"/>
      <c r="DFZ37" s="759"/>
      <c r="DGA37" s="759"/>
      <c r="DGB37" s="759"/>
      <c r="DGC37" s="759"/>
      <c r="DGD37" s="759"/>
      <c r="DGE37" s="759"/>
      <c r="DGF37" s="759"/>
      <c r="DGG37" s="759"/>
      <c r="DGH37" s="759"/>
      <c r="DGI37" s="759"/>
      <c r="DGJ37" s="759"/>
      <c r="DGK37" s="759"/>
      <c r="DGL37" s="759"/>
      <c r="DGM37" s="759"/>
      <c r="DGN37" s="759"/>
      <c r="DGO37" s="759"/>
      <c r="DGP37" s="759"/>
      <c r="DGQ37" s="759"/>
      <c r="DGR37" s="759"/>
      <c r="DGS37" s="759"/>
      <c r="DGT37" s="759"/>
      <c r="DGU37" s="759"/>
      <c r="DGV37" s="759"/>
      <c r="DGW37" s="759"/>
      <c r="DGX37" s="759"/>
      <c r="DGY37" s="759"/>
      <c r="DGZ37" s="759"/>
      <c r="DHA37" s="759"/>
      <c r="DHB37" s="759"/>
      <c r="DHC37" s="759"/>
      <c r="DHD37" s="759"/>
      <c r="DHE37" s="759"/>
      <c r="DHF37" s="759"/>
      <c r="DHG37" s="759"/>
      <c r="DHH37" s="759"/>
      <c r="DHI37" s="759"/>
      <c r="DHJ37" s="759"/>
      <c r="DHK37" s="759"/>
      <c r="DHL37" s="759"/>
      <c r="DHM37" s="759"/>
      <c r="DHN37" s="759"/>
      <c r="DHO37" s="759"/>
      <c r="DHP37" s="759"/>
      <c r="DHQ37" s="759"/>
      <c r="DHR37" s="759"/>
      <c r="DHS37" s="759"/>
      <c r="DHT37" s="759"/>
      <c r="DHU37" s="759"/>
      <c r="DHV37" s="759"/>
      <c r="DHW37" s="759"/>
      <c r="DHX37" s="759"/>
      <c r="DHY37" s="759"/>
      <c r="DHZ37" s="759"/>
      <c r="DIA37" s="759"/>
      <c r="DIB37" s="759"/>
      <c r="DIC37" s="759"/>
      <c r="DID37" s="759"/>
      <c r="DIE37" s="759"/>
      <c r="DIF37" s="759"/>
      <c r="DIG37" s="759"/>
      <c r="DIH37" s="759"/>
      <c r="DII37" s="759"/>
      <c r="DIJ37" s="759"/>
      <c r="DIK37" s="759"/>
      <c r="DIL37" s="759"/>
      <c r="DIM37" s="759"/>
      <c r="DIN37" s="759"/>
      <c r="DIO37" s="759"/>
      <c r="DIP37" s="759"/>
      <c r="DIQ37" s="759"/>
      <c r="DIR37" s="759"/>
      <c r="DIS37" s="759"/>
      <c r="DIT37" s="759"/>
      <c r="DIU37" s="759"/>
      <c r="DIV37" s="759"/>
      <c r="DIW37" s="759"/>
      <c r="DIX37" s="759"/>
      <c r="DIY37" s="759"/>
      <c r="DIZ37" s="759"/>
      <c r="DJA37" s="759"/>
      <c r="DJB37" s="759"/>
      <c r="DJC37" s="759"/>
      <c r="DJD37" s="759"/>
      <c r="DJE37" s="759"/>
      <c r="DJF37" s="759"/>
      <c r="DJG37" s="759"/>
      <c r="DJH37" s="759"/>
      <c r="DJI37" s="759"/>
      <c r="DJJ37" s="759"/>
      <c r="DJK37" s="759"/>
      <c r="DJL37" s="759"/>
      <c r="DJM37" s="759"/>
      <c r="DJN37" s="759"/>
      <c r="DJO37" s="759"/>
      <c r="DJP37" s="759"/>
      <c r="DJQ37" s="759"/>
      <c r="DJR37" s="759"/>
      <c r="DJS37" s="759"/>
      <c r="DJT37" s="759"/>
      <c r="DJU37" s="759"/>
      <c r="DJV37" s="759"/>
      <c r="DJW37" s="759"/>
      <c r="DJX37" s="759"/>
      <c r="DJY37" s="759"/>
      <c r="DJZ37" s="759"/>
      <c r="DKA37" s="759"/>
      <c r="DKB37" s="759"/>
      <c r="DKC37" s="759"/>
      <c r="DKD37" s="759"/>
      <c r="DKE37" s="759"/>
      <c r="DKF37" s="759"/>
      <c r="DKG37" s="759"/>
      <c r="DKH37" s="759"/>
      <c r="DKI37" s="759"/>
      <c r="DKJ37" s="759"/>
      <c r="DKK37" s="759"/>
      <c r="DKL37" s="759"/>
      <c r="DKM37" s="759"/>
      <c r="DKN37" s="759"/>
      <c r="DKO37" s="759"/>
      <c r="DKP37" s="759"/>
      <c r="DKQ37" s="759"/>
      <c r="DKR37" s="759"/>
      <c r="DKS37" s="759"/>
      <c r="DKT37" s="759"/>
      <c r="DKU37" s="759"/>
      <c r="DKV37" s="759"/>
      <c r="DKW37" s="759"/>
      <c r="DKX37" s="759"/>
      <c r="DKY37" s="759"/>
      <c r="DKZ37" s="759"/>
      <c r="DLA37" s="759"/>
      <c r="DLB37" s="759"/>
      <c r="DLC37" s="759"/>
      <c r="DLD37" s="759"/>
      <c r="DLE37" s="759"/>
      <c r="DLF37" s="759"/>
      <c r="DLG37" s="759"/>
      <c r="DLH37" s="759"/>
      <c r="DLI37" s="759"/>
      <c r="DLJ37" s="759"/>
      <c r="DLK37" s="759"/>
      <c r="DLL37" s="759"/>
      <c r="DLM37" s="759"/>
      <c r="DLN37" s="759"/>
      <c r="DLO37" s="759"/>
      <c r="DLP37" s="759"/>
      <c r="DLQ37" s="759"/>
      <c r="DLR37" s="759"/>
      <c r="DLS37" s="759"/>
      <c r="DLT37" s="759"/>
      <c r="DLU37" s="759"/>
      <c r="DLV37" s="759"/>
      <c r="DLW37" s="759"/>
      <c r="DLX37" s="759"/>
      <c r="DLY37" s="759"/>
      <c r="DLZ37" s="759"/>
      <c r="DMA37" s="759"/>
      <c r="DMB37" s="759"/>
      <c r="DMC37" s="759"/>
      <c r="DMD37" s="759"/>
      <c r="DME37" s="759"/>
      <c r="DMF37" s="759"/>
      <c r="DMG37" s="759"/>
      <c r="DMH37" s="759"/>
      <c r="DMI37" s="759"/>
      <c r="DMJ37" s="759"/>
      <c r="DMK37" s="759"/>
      <c r="DML37" s="759"/>
      <c r="DMM37" s="759"/>
      <c r="DMN37" s="759"/>
      <c r="DMO37" s="759"/>
      <c r="DMP37" s="759"/>
      <c r="DMQ37" s="759"/>
      <c r="DMR37" s="759"/>
      <c r="DMS37" s="759"/>
      <c r="DMT37" s="759"/>
      <c r="DMU37" s="759"/>
      <c r="DMV37" s="759"/>
      <c r="DMW37" s="759"/>
      <c r="DMX37" s="759"/>
      <c r="DMY37" s="759"/>
      <c r="DMZ37" s="759"/>
      <c r="DNA37" s="759"/>
      <c r="DNB37" s="759"/>
      <c r="DNC37" s="759"/>
      <c r="DND37" s="759"/>
      <c r="DNE37" s="759"/>
      <c r="DNF37" s="759"/>
      <c r="DNG37" s="759"/>
      <c r="DNH37" s="759"/>
      <c r="DNI37" s="759"/>
      <c r="DNJ37" s="759"/>
      <c r="DNK37" s="759"/>
      <c r="DNL37" s="759"/>
      <c r="DNM37" s="759"/>
      <c r="DNN37" s="759"/>
      <c r="DNO37" s="759"/>
      <c r="DNP37" s="759"/>
      <c r="DNQ37" s="759"/>
      <c r="DNR37" s="759"/>
      <c r="DNS37" s="759"/>
      <c r="DNT37" s="759"/>
      <c r="DNU37" s="759"/>
      <c r="DNV37" s="759"/>
      <c r="DNW37" s="759"/>
      <c r="DNX37" s="759"/>
      <c r="DNY37" s="759"/>
      <c r="DNZ37" s="759"/>
      <c r="DOA37" s="759"/>
      <c r="DOB37" s="759"/>
      <c r="DOC37" s="759"/>
      <c r="DOD37" s="759"/>
      <c r="DOE37" s="759"/>
      <c r="DOF37" s="759"/>
      <c r="DOG37" s="759"/>
      <c r="DOH37" s="759"/>
      <c r="DOI37" s="759"/>
      <c r="DOJ37" s="759"/>
      <c r="DOK37" s="759"/>
      <c r="DOL37" s="759"/>
      <c r="DOM37" s="759"/>
      <c r="DON37" s="759"/>
      <c r="DOO37" s="759"/>
      <c r="DOP37" s="759"/>
      <c r="DOQ37" s="759"/>
      <c r="DOR37" s="759"/>
      <c r="DOS37" s="759"/>
      <c r="DOT37" s="759"/>
      <c r="DOU37" s="759"/>
      <c r="DOV37" s="759"/>
      <c r="DOW37" s="759"/>
      <c r="DOX37" s="759"/>
      <c r="DOY37" s="759"/>
      <c r="DOZ37" s="759"/>
      <c r="DPA37" s="759"/>
      <c r="DPB37" s="759"/>
      <c r="DPC37" s="759"/>
      <c r="DPD37" s="759"/>
      <c r="DPE37" s="759"/>
      <c r="DPF37" s="759"/>
      <c r="DPG37" s="759"/>
      <c r="DPH37" s="759"/>
      <c r="DPI37" s="759"/>
      <c r="DPJ37" s="759"/>
      <c r="DPK37" s="759"/>
      <c r="DPL37" s="759"/>
      <c r="DPM37" s="759"/>
      <c r="DPN37" s="759"/>
      <c r="DPO37" s="759"/>
      <c r="DPP37" s="759"/>
      <c r="DPQ37" s="759"/>
      <c r="DPR37" s="759"/>
      <c r="DPS37" s="759"/>
      <c r="DPT37" s="759"/>
      <c r="DPU37" s="759"/>
      <c r="DPV37" s="759"/>
      <c r="DPW37" s="759"/>
      <c r="DPX37" s="759"/>
      <c r="DPY37" s="759"/>
      <c r="DPZ37" s="759"/>
      <c r="DQA37" s="759"/>
      <c r="DQB37" s="759"/>
      <c r="DQC37" s="759"/>
      <c r="DQD37" s="759"/>
      <c r="DQE37" s="759"/>
      <c r="DQF37" s="759"/>
      <c r="DQG37" s="759"/>
      <c r="DQH37" s="759"/>
      <c r="DQI37" s="759"/>
      <c r="DQJ37" s="759"/>
      <c r="DQK37" s="759"/>
      <c r="DQL37" s="759"/>
      <c r="DQM37" s="759"/>
      <c r="DQN37" s="759"/>
      <c r="DQO37" s="759"/>
      <c r="DQP37" s="759"/>
      <c r="DQQ37" s="759"/>
      <c r="DQR37" s="759"/>
      <c r="DQS37" s="759"/>
      <c r="DQT37" s="759"/>
      <c r="DQU37" s="759"/>
      <c r="DQV37" s="759"/>
      <c r="DQW37" s="759"/>
      <c r="DQX37" s="759"/>
      <c r="DQY37" s="759"/>
      <c r="DQZ37" s="759"/>
      <c r="DRA37" s="759"/>
      <c r="DRB37" s="759"/>
      <c r="DRC37" s="759"/>
      <c r="DRD37" s="759"/>
      <c r="DRE37" s="759"/>
      <c r="DRF37" s="759"/>
      <c r="DRG37" s="759"/>
      <c r="DRH37" s="759"/>
      <c r="DRI37" s="759"/>
      <c r="DRJ37" s="759"/>
      <c r="DRK37" s="759"/>
      <c r="DRL37" s="759"/>
      <c r="DRM37" s="759"/>
      <c r="DRN37" s="759"/>
      <c r="DRO37" s="759"/>
      <c r="DRP37" s="759"/>
      <c r="DRQ37" s="759"/>
      <c r="DRR37" s="759"/>
      <c r="DRS37" s="759"/>
      <c r="DRT37" s="759"/>
      <c r="DRU37" s="759"/>
      <c r="DRV37" s="759"/>
      <c r="DRW37" s="759"/>
      <c r="DRX37" s="759"/>
      <c r="DRY37" s="759"/>
      <c r="DRZ37" s="759"/>
      <c r="DSA37" s="759"/>
      <c r="DSB37" s="759"/>
      <c r="DSC37" s="759"/>
      <c r="DSD37" s="759"/>
      <c r="DSE37" s="759"/>
      <c r="DSF37" s="759"/>
      <c r="DSG37" s="759"/>
      <c r="DSH37" s="759"/>
      <c r="DSI37" s="759"/>
      <c r="DSJ37" s="759"/>
      <c r="DSK37" s="759"/>
      <c r="DSL37" s="759"/>
      <c r="DSM37" s="759"/>
      <c r="DSN37" s="759"/>
      <c r="DSO37" s="759"/>
      <c r="DSP37" s="759"/>
      <c r="DSQ37" s="759"/>
      <c r="DSR37" s="759"/>
      <c r="DSS37" s="759"/>
      <c r="DST37" s="759"/>
      <c r="DSU37" s="759"/>
      <c r="DSV37" s="759"/>
      <c r="DSW37" s="759"/>
      <c r="DSX37" s="759"/>
      <c r="DSY37" s="759"/>
      <c r="DSZ37" s="759"/>
      <c r="DTA37" s="759"/>
      <c r="DTB37" s="759"/>
      <c r="DTC37" s="759"/>
      <c r="DTD37" s="759"/>
      <c r="DTE37" s="759"/>
      <c r="DTF37" s="759"/>
      <c r="DTG37" s="759"/>
      <c r="DTH37" s="759"/>
      <c r="DTI37" s="759"/>
      <c r="DTJ37" s="759"/>
      <c r="DTK37" s="759"/>
      <c r="DTL37" s="759"/>
      <c r="DTM37" s="759"/>
      <c r="DTN37" s="759"/>
      <c r="DTO37" s="759"/>
      <c r="DTP37" s="759"/>
      <c r="DTQ37" s="759"/>
      <c r="DTR37" s="759"/>
      <c r="DTS37" s="759"/>
      <c r="DTT37" s="759"/>
      <c r="DTU37" s="759"/>
      <c r="DTV37" s="759"/>
      <c r="DTW37" s="759"/>
      <c r="DTX37" s="759"/>
      <c r="DTY37" s="759"/>
      <c r="DTZ37" s="759"/>
      <c r="DUA37" s="759"/>
      <c r="DUB37" s="759"/>
      <c r="DUC37" s="759"/>
      <c r="DUD37" s="759"/>
      <c r="DUE37" s="759"/>
      <c r="DUF37" s="759"/>
      <c r="DUG37" s="759"/>
      <c r="DUH37" s="759"/>
      <c r="DUI37" s="759"/>
      <c r="DUJ37" s="759"/>
      <c r="DUK37" s="759"/>
      <c r="DUL37" s="759"/>
      <c r="DUM37" s="759"/>
      <c r="DUN37" s="759"/>
      <c r="DUO37" s="759"/>
      <c r="DUP37" s="759"/>
      <c r="DUQ37" s="759"/>
      <c r="DUR37" s="759"/>
      <c r="DUS37" s="759"/>
      <c r="DUT37" s="759"/>
      <c r="DUU37" s="759"/>
      <c r="DUV37" s="759"/>
      <c r="DUW37" s="759"/>
      <c r="DUX37" s="759"/>
      <c r="DUY37" s="759"/>
      <c r="DUZ37" s="759"/>
      <c r="DVA37" s="759"/>
      <c r="DVB37" s="759"/>
      <c r="DVC37" s="759"/>
      <c r="DVD37" s="759"/>
      <c r="DVE37" s="759"/>
      <c r="DVF37" s="759"/>
      <c r="DVG37" s="759"/>
      <c r="DVH37" s="759"/>
      <c r="DVI37" s="759"/>
      <c r="DVJ37" s="759"/>
      <c r="DVK37" s="759"/>
      <c r="DVL37" s="759"/>
      <c r="DVM37" s="759"/>
      <c r="DVN37" s="759"/>
      <c r="DVO37" s="759"/>
      <c r="DVP37" s="759"/>
      <c r="DVQ37" s="759"/>
      <c r="DVR37" s="759"/>
      <c r="DVS37" s="759"/>
      <c r="DVT37" s="759"/>
      <c r="DVU37" s="759"/>
      <c r="DVV37" s="759"/>
      <c r="DVW37" s="759"/>
      <c r="DVX37" s="759"/>
      <c r="DVY37" s="759"/>
      <c r="DVZ37" s="759"/>
      <c r="DWA37" s="759"/>
      <c r="DWB37" s="759"/>
      <c r="DWC37" s="759"/>
      <c r="DWD37" s="759"/>
      <c r="DWE37" s="759"/>
      <c r="DWF37" s="759"/>
      <c r="DWG37" s="759"/>
      <c r="DWH37" s="759"/>
      <c r="DWI37" s="759"/>
      <c r="DWJ37" s="759"/>
      <c r="DWK37" s="759"/>
      <c r="DWL37" s="759"/>
      <c r="DWM37" s="759"/>
      <c r="DWN37" s="759"/>
      <c r="DWO37" s="759"/>
      <c r="DWP37" s="759"/>
      <c r="DWQ37" s="759"/>
      <c r="DWR37" s="759"/>
      <c r="DWS37" s="759"/>
      <c r="DWT37" s="759"/>
      <c r="DWU37" s="759"/>
      <c r="DWV37" s="759"/>
      <c r="DWW37" s="759"/>
      <c r="DWX37" s="759"/>
      <c r="DWY37" s="759"/>
      <c r="DWZ37" s="759"/>
      <c r="DXA37" s="759"/>
      <c r="DXB37" s="759"/>
      <c r="DXC37" s="759"/>
      <c r="DXD37" s="759"/>
      <c r="DXE37" s="759"/>
      <c r="DXF37" s="759"/>
      <c r="DXG37" s="759"/>
      <c r="DXH37" s="759"/>
      <c r="DXI37" s="759"/>
      <c r="DXJ37" s="759"/>
      <c r="DXK37" s="759"/>
      <c r="DXL37" s="759"/>
      <c r="DXM37" s="759"/>
      <c r="DXN37" s="759"/>
      <c r="DXO37" s="759"/>
      <c r="DXP37" s="759"/>
      <c r="DXQ37" s="759"/>
      <c r="DXR37" s="759"/>
      <c r="DXS37" s="759"/>
      <c r="DXT37" s="759"/>
      <c r="DXU37" s="759"/>
      <c r="DXV37" s="759"/>
      <c r="DXW37" s="759"/>
      <c r="DXX37" s="759"/>
      <c r="DXY37" s="759"/>
      <c r="DXZ37" s="759"/>
      <c r="DYA37" s="759"/>
      <c r="DYB37" s="759"/>
      <c r="DYC37" s="759"/>
      <c r="DYD37" s="759"/>
      <c r="DYE37" s="759"/>
      <c r="DYF37" s="759"/>
      <c r="DYG37" s="759"/>
      <c r="DYH37" s="759"/>
      <c r="DYI37" s="759"/>
      <c r="DYJ37" s="759"/>
      <c r="DYK37" s="759"/>
      <c r="DYL37" s="759"/>
      <c r="DYM37" s="759"/>
      <c r="DYN37" s="759"/>
      <c r="DYO37" s="759"/>
      <c r="DYP37" s="759"/>
      <c r="DYQ37" s="759"/>
      <c r="DYR37" s="759"/>
      <c r="DYS37" s="759"/>
      <c r="DYT37" s="759"/>
      <c r="DYU37" s="759"/>
      <c r="DYV37" s="759"/>
      <c r="DYW37" s="759"/>
      <c r="DYX37" s="759"/>
      <c r="DYY37" s="759"/>
      <c r="DYZ37" s="759"/>
      <c r="DZA37" s="759"/>
      <c r="DZB37" s="759"/>
      <c r="DZC37" s="759"/>
      <c r="DZD37" s="759"/>
      <c r="DZE37" s="759"/>
      <c r="DZF37" s="759"/>
      <c r="DZG37" s="759"/>
      <c r="DZH37" s="759"/>
      <c r="DZI37" s="759"/>
      <c r="DZJ37" s="759"/>
      <c r="DZK37" s="759"/>
      <c r="DZL37" s="759"/>
      <c r="DZM37" s="759"/>
      <c r="DZN37" s="759"/>
      <c r="DZO37" s="759"/>
      <c r="DZP37" s="759"/>
      <c r="DZQ37" s="759"/>
      <c r="DZR37" s="759"/>
      <c r="DZS37" s="759"/>
      <c r="DZT37" s="759"/>
      <c r="DZU37" s="759"/>
      <c r="DZV37" s="759"/>
      <c r="DZW37" s="759"/>
      <c r="DZX37" s="759"/>
      <c r="DZY37" s="759"/>
      <c r="DZZ37" s="759"/>
      <c r="EAA37" s="759"/>
      <c r="EAB37" s="759"/>
      <c r="EAC37" s="759"/>
      <c r="EAD37" s="759"/>
      <c r="EAE37" s="759"/>
      <c r="EAF37" s="759"/>
      <c r="EAG37" s="759"/>
      <c r="EAH37" s="759"/>
      <c r="EAI37" s="759"/>
      <c r="EAJ37" s="759"/>
      <c r="EAK37" s="759"/>
      <c r="EAL37" s="759"/>
      <c r="EAM37" s="759"/>
      <c r="EAN37" s="759"/>
      <c r="EAO37" s="759"/>
      <c r="EAP37" s="759"/>
      <c r="EAQ37" s="759"/>
      <c r="EAR37" s="759"/>
      <c r="EAS37" s="759"/>
      <c r="EAT37" s="759"/>
      <c r="EAU37" s="759"/>
      <c r="EAV37" s="759"/>
      <c r="EAW37" s="759"/>
      <c r="EAX37" s="759"/>
      <c r="EAY37" s="759"/>
      <c r="EAZ37" s="759"/>
      <c r="EBA37" s="759"/>
      <c r="EBB37" s="759"/>
      <c r="EBC37" s="759"/>
      <c r="EBD37" s="759"/>
      <c r="EBE37" s="759"/>
      <c r="EBF37" s="759"/>
      <c r="EBG37" s="759"/>
      <c r="EBH37" s="759"/>
      <c r="EBI37" s="759"/>
      <c r="EBJ37" s="759"/>
      <c r="EBK37" s="759"/>
      <c r="EBL37" s="759"/>
      <c r="EBM37" s="759"/>
      <c r="EBN37" s="759"/>
      <c r="EBO37" s="759"/>
      <c r="EBP37" s="759"/>
      <c r="EBQ37" s="759"/>
      <c r="EBR37" s="759"/>
      <c r="EBS37" s="759"/>
      <c r="EBT37" s="759"/>
      <c r="EBU37" s="759"/>
      <c r="EBV37" s="759"/>
      <c r="EBW37" s="759"/>
      <c r="EBX37" s="759"/>
      <c r="EBY37" s="759"/>
      <c r="EBZ37" s="759"/>
      <c r="ECA37" s="759"/>
      <c r="ECB37" s="759"/>
      <c r="ECC37" s="759"/>
      <c r="ECD37" s="759"/>
      <c r="ECE37" s="759"/>
      <c r="ECF37" s="759"/>
      <c r="ECG37" s="759"/>
      <c r="ECH37" s="759"/>
      <c r="ECI37" s="759"/>
      <c r="ECJ37" s="759"/>
      <c r="ECK37" s="759"/>
      <c r="ECL37" s="759"/>
      <c r="ECM37" s="759"/>
      <c r="ECN37" s="759"/>
      <c r="ECO37" s="759"/>
      <c r="ECP37" s="759"/>
      <c r="ECQ37" s="759"/>
      <c r="ECR37" s="759"/>
      <c r="ECS37" s="759"/>
      <c r="ECT37" s="759"/>
      <c r="ECU37" s="759"/>
      <c r="ECV37" s="759"/>
      <c r="ECW37" s="759"/>
      <c r="ECX37" s="759"/>
      <c r="ECY37" s="759"/>
      <c r="ECZ37" s="759"/>
      <c r="EDA37" s="759"/>
      <c r="EDB37" s="759"/>
      <c r="EDC37" s="759"/>
      <c r="EDD37" s="759"/>
      <c r="EDE37" s="759"/>
      <c r="EDF37" s="759"/>
      <c r="EDG37" s="759"/>
      <c r="EDH37" s="759"/>
      <c r="EDI37" s="759"/>
      <c r="EDJ37" s="759"/>
      <c r="EDK37" s="759"/>
      <c r="EDL37" s="759"/>
      <c r="EDM37" s="759"/>
      <c r="EDN37" s="759"/>
      <c r="EDO37" s="759"/>
      <c r="EDP37" s="759"/>
      <c r="EDQ37" s="759"/>
      <c r="EDR37" s="759"/>
      <c r="EDS37" s="759"/>
      <c r="EDT37" s="759"/>
      <c r="EDU37" s="759"/>
      <c r="EDV37" s="759"/>
      <c r="EDW37" s="759"/>
      <c r="EDX37" s="759"/>
      <c r="EDY37" s="759"/>
      <c r="EDZ37" s="759"/>
      <c r="EEA37" s="759"/>
      <c r="EEB37" s="759"/>
      <c r="EEC37" s="759"/>
      <c r="EED37" s="759"/>
      <c r="EEE37" s="759"/>
      <c r="EEF37" s="759"/>
      <c r="EEG37" s="759"/>
      <c r="EEH37" s="759"/>
      <c r="EEI37" s="759"/>
      <c r="EEJ37" s="759"/>
      <c r="EEK37" s="759"/>
      <c r="EEL37" s="759"/>
      <c r="EEM37" s="759"/>
      <c r="EEN37" s="759"/>
      <c r="EEO37" s="759"/>
      <c r="EEP37" s="759"/>
      <c r="EEQ37" s="759"/>
      <c r="EER37" s="759"/>
      <c r="EES37" s="759"/>
      <c r="EET37" s="759"/>
      <c r="EEU37" s="759"/>
      <c r="EEV37" s="759"/>
      <c r="EEW37" s="759"/>
      <c r="EEX37" s="759"/>
      <c r="EEY37" s="759"/>
      <c r="EEZ37" s="759"/>
      <c r="EFA37" s="759"/>
      <c r="EFB37" s="759"/>
      <c r="EFC37" s="759"/>
      <c r="EFD37" s="759"/>
      <c r="EFE37" s="759"/>
      <c r="EFF37" s="759"/>
      <c r="EFG37" s="759"/>
      <c r="EFH37" s="759"/>
      <c r="EFI37" s="759"/>
      <c r="EFJ37" s="759"/>
      <c r="EFK37" s="759"/>
      <c r="EFL37" s="759"/>
      <c r="EFM37" s="759"/>
      <c r="EFN37" s="759"/>
      <c r="EFO37" s="759"/>
      <c r="EFP37" s="759"/>
      <c r="EFQ37" s="759"/>
      <c r="EFR37" s="759"/>
      <c r="EFS37" s="759"/>
      <c r="EFT37" s="759"/>
      <c r="EFU37" s="759"/>
      <c r="EFV37" s="759"/>
      <c r="EFW37" s="759"/>
      <c r="EFX37" s="759"/>
      <c r="EFY37" s="759"/>
      <c r="EFZ37" s="759"/>
      <c r="EGA37" s="759"/>
      <c r="EGB37" s="759"/>
      <c r="EGC37" s="759"/>
      <c r="EGD37" s="759"/>
      <c r="EGE37" s="759"/>
      <c r="EGF37" s="759"/>
      <c r="EGG37" s="759"/>
      <c r="EGH37" s="759"/>
      <c r="EGI37" s="759"/>
      <c r="EGJ37" s="759"/>
      <c r="EGK37" s="759"/>
      <c r="EGL37" s="759"/>
      <c r="EGM37" s="759"/>
      <c r="EGN37" s="759"/>
      <c r="EGO37" s="759"/>
      <c r="EGP37" s="759"/>
      <c r="EGQ37" s="759"/>
      <c r="EGR37" s="759"/>
      <c r="EGS37" s="759"/>
      <c r="EGT37" s="759"/>
      <c r="EGU37" s="759"/>
      <c r="EGV37" s="759"/>
      <c r="EGW37" s="759"/>
      <c r="EGX37" s="759"/>
      <c r="EGY37" s="759"/>
      <c r="EGZ37" s="759"/>
      <c r="EHA37" s="759"/>
      <c r="EHB37" s="759"/>
      <c r="EHC37" s="759"/>
      <c r="EHD37" s="759"/>
      <c r="EHE37" s="759"/>
      <c r="EHF37" s="759"/>
      <c r="EHG37" s="759"/>
      <c r="EHH37" s="759"/>
      <c r="EHI37" s="759"/>
      <c r="EHJ37" s="759"/>
      <c r="EHK37" s="759"/>
      <c r="EHL37" s="759"/>
      <c r="EHM37" s="759"/>
      <c r="EHN37" s="759"/>
      <c r="EHO37" s="759"/>
      <c r="EHP37" s="759"/>
      <c r="EHQ37" s="759"/>
      <c r="EHR37" s="759"/>
      <c r="EHS37" s="759"/>
      <c r="EHT37" s="759"/>
      <c r="EHU37" s="759"/>
      <c r="EHV37" s="759"/>
      <c r="EHW37" s="759"/>
      <c r="EHX37" s="759"/>
      <c r="EHY37" s="759"/>
      <c r="EHZ37" s="759"/>
      <c r="EIA37" s="759"/>
      <c r="EIB37" s="759"/>
      <c r="EIC37" s="759"/>
      <c r="EID37" s="759"/>
      <c r="EIE37" s="759"/>
      <c r="EIF37" s="759"/>
      <c r="EIG37" s="759"/>
      <c r="EIH37" s="759"/>
      <c r="EII37" s="759"/>
      <c r="EIJ37" s="759"/>
      <c r="EIK37" s="759"/>
      <c r="EIL37" s="759"/>
      <c r="EIM37" s="759"/>
      <c r="EIN37" s="759"/>
      <c r="EIO37" s="759"/>
      <c r="EIP37" s="759"/>
      <c r="EIQ37" s="759"/>
      <c r="EIR37" s="759"/>
      <c r="EIS37" s="759"/>
      <c r="EIT37" s="759"/>
      <c r="EIU37" s="759"/>
      <c r="EIV37" s="759"/>
      <c r="EIW37" s="759"/>
      <c r="EIX37" s="759"/>
      <c r="EIY37" s="759"/>
      <c r="EIZ37" s="759"/>
      <c r="EJA37" s="759"/>
      <c r="EJB37" s="759"/>
      <c r="EJC37" s="759"/>
      <c r="EJD37" s="759"/>
      <c r="EJE37" s="759"/>
      <c r="EJF37" s="759"/>
      <c r="EJG37" s="759"/>
      <c r="EJH37" s="759"/>
      <c r="EJI37" s="759"/>
      <c r="EJJ37" s="759"/>
      <c r="EJK37" s="759"/>
      <c r="EJL37" s="759"/>
      <c r="EJM37" s="759"/>
      <c r="EJN37" s="759"/>
      <c r="EJO37" s="759"/>
      <c r="EJP37" s="759"/>
      <c r="EJQ37" s="759"/>
      <c r="EJR37" s="759"/>
      <c r="EJS37" s="759"/>
      <c r="EJT37" s="759"/>
      <c r="EJU37" s="759"/>
      <c r="EJV37" s="759"/>
      <c r="EJW37" s="759"/>
      <c r="EJX37" s="759"/>
      <c r="EJY37" s="759"/>
      <c r="EJZ37" s="759"/>
      <c r="EKA37" s="759"/>
      <c r="EKB37" s="759"/>
      <c r="EKC37" s="759"/>
      <c r="EKD37" s="759"/>
      <c r="EKE37" s="759"/>
      <c r="EKF37" s="759"/>
      <c r="EKG37" s="759"/>
      <c r="EKH37" s="759"/>
      <c r="EKI37" s="759"/>
      <c r="EKJ37" s="759"/>
      <c r="EKK37" s="759"/>
      <c r="EKL37" s="759"/>
      <c r="EKM37" s="759"/>
      <c r="EKN37" s="759"/>
      <c r="EKO37" s="759"/>
      <c r="EKP37" s="759"/>
      <c r="EKQ37" s="759"/>
      <c r="EKR37" s="759"/>
      <c r="EKS37" s="759"/>
      <c r="EKT37" s="759"/>
      <c r="EKU37" s="759"/>
      <c r="EKV37" s="759"/>
      <c r="EKW37" s="759"/>
      <c r="EKX37" s="759"/>
      <c r="EKY37" s="759"/>
      <c r="EKZ37" s="759"/>
      <c r="ELA37" s="759"/>
      <c r="ELB37" s="759"/>
      <c r="ELC37" s="759"/>
      <c r="ELD37" s="759"/>
      <c r="ELE37" s="759"/>
      <c r="ELF37" s="759"/>
      <c r="ELG37" s="759"/>
      <c r="ELH37" s="759"/>
      <c r="ELI37" s="759"/>
      <c r="ELJ37" s="759"/>
      <c r="ELK37" s="759"/>
      <c r="ELL37" s="759"/>
      <c r="ELM37" s="759"/>
      <c r="ELN37" s="759"/>
      <c r="ELO37" s="759"/>
      <c r="ELP37" s="759"/>
      <c r="ELQ37" s="759"/>
      <c r="ELR37" s="759"/>
      <c r="ELS37" s="759"/>
      <c r="ELT37" s="759"/>
      <c r="ELU37" s="759"/>
      <c r="ELV37" s="759"/>
      <c r="ELW37" s="759"/>
      <c r="ELX37" s="759"/>
      <c r="ELY37" s="759"/>
      <c r="ELZ37" s="759"/>
      <c r="EMA37" s="759"/>
      <c r="EMB37" s="759"/>
      <c r="EMC37" s="759"/>
      <c r="EMD37" s="759"/>
      <c r="EME37" s="759"/>
      <c r="EMF37" s="759"/>
      <c r="EMG37" s="759"/>
      <c r="EMH37" s="759"/>
      <c r="EMI37" s="759"/>
      <c r="EMJ37" s="759"/>
      <c r="EMK37" s="759"/>
      <c r="EML37" s="759"/>
      <c r="EMM37" s="759"/>
      <c r="EMN37" s="759"/>
      <c r="EMO37" s="759"/>
      <c r="EMP37" s="759"/>
      <c r="EMQ37" s="759"/>
      <c r="EMR37" s="759"/>
      <c r="EMS37" s="759"/>
      <c r="EMT37" s="759"/>
      <c r="EMU37" s="759"/>
      <c r="EMV37" s="759"/>
      <c r="EMW37" s="759"/>
      <c r="EMX37" s="759"/>
      <c r="EMY37" s="759"/>
      <c r="EMZ37" s="759"/>
      <c r="ENA37" s="759"/>
      <c r="ENB37" s="759"/>
      <c r="ENC37" s="759"/>
      <c r="END37" s="759"/>
      <c r="ENE37" s="759"/>
      <c r="ENF37" s="759"/>
      <c r="ENG37" s="759"/>
      <c r="ENH37" s="759"/>
      <c r="ENI37" s="759"/>
      <c r="ENJ37" s="759"/>
      <c r="ENK37" s="759"/>
      <c r="ENL37" s="759"/>
      <c r="ENM37" s="759"/>
      <c r="ENN37" s="759"/>
      <c r="ENO37" s="759"/>
      <c r="ENP37" s="759"/>
      <c r="ENQ37" s="759"/>
      <c r="ENR37" s="759"/>
      <c r="ENS37" s="759"/>
      <c r="ENT37" s="759"/>
      <c r="ENU37" s="759"/>
      <c r="ENV37" s="759"/>
      <c r="ENW37" s="759"/>
      <c r="ENX37" s="759"/>
      <c r="ENY37" s="759"/>
      <c r="ENZ37" s="759"/>
      <c r="EOA37" s="759"/>
      <c r="EOB37" s="759"/>
      <c r="EOC37" s="759"/>
      <c r="EOD37" s="759"/>
      <c r="EOE37" s="759"/>
      <c r="EOF37" s="759"/>
      <c r="EOG37" s="759"/>
      <c r="EOH37" s="759"/>
      <c r="EOI37" s="759"/>
      <c r="EOJ37" s="759"/>
      <c r="EOK37" s="759"/>
      <c r="EOL37" s="759"/>
      <c r="EOM37" s="759"/>
      <c r="EON37" s="759"/>
      <c r="EOO37" s="759"/>
      <c r="EOP37" s="759"/>
      <c r="EOQ37" s="759"/>
      <c r="EOR37" s="759"/>
      <c r="EOS37" s="759"/>
      <c r="EOT37" s="759"/>
      <c r="EOU37" s="759"/>
      <c r="EOV37" s="759"/>
      <c r="EOW37" s="759"/>
      <c r="EOX37" s="759"/>
      <c r="EOY37" s="759"/>
      <c r="EOZ37" s="759"/>
      <c r="EPA37" s="759"/>
      <c r="EPB37" s="759"/>
      <c r="EPC37" s="759"/>
      <c r="EPD37" s="759"/>
      <c r="EPE37" s="759"/>
      <c r="EPF37" s="759"/>
      <c r="EPG37" s="759"/>
      <c r="EPH37" s="759"/>
      <c r="EPI37" s="759"/>
      <c r="EPJ37" s="759"/>
      <c r="EPK37" s="759"/>
      <c r="EPL37" s="759"/>
      <c r="EPM37" s="759"/>
      <c r="EPN37" s="759"/>
      <c r="EPO37" s="759"/>
      <c r="EPP37" s="759"/>
      <c r="EPQ37" s="759"/>
      <c r="EPR37" s="759"/>
      <c r="EPS37" s="759"/>
      <c r="EPT37" s="759"/>
      <c r="EPU37" s="759"/>
      <c r="EPV37" s="759"/>
      <c r="EPW37" s="759"/>
      <c r="EPX37" s="759"/>
      <c r="EPY37" s="759"/>
      <c r="EPZ37" s="759"/>
      <c r="EQA37" s="759"/>
      <c r="EQB37" s="759"/>
      <c r="EQC37" s="759"/>
      <c r="EQD37" s="759"/>
      <c r="EQE37" s="759"/>
      <c r="EQF37" s="759"/>
      <c r="EQG37" s="759"/>
      <c r="EQH37" s="759"/>
      <c r="EQI37" s="759"/>
      <c r="EQJ37" s="759"/>
      <c r="EQK37" s="759"/>
      <c r="EQL37" s="759"/>
      <c r="EQM37" s="759"/>
      <c r="EQN37" s="759"/>
      <c r="EQO37" s="759"/>
      <c r="EQP37" s="759"/>
      <c r="EQQ37" s="759"/>
      <c r="EQR37" s="759"/>
      <c r="EQS37" s="759"/>
      <c r="EQT37" s="759"/>
      <c r="EQU37" s="759"/>
      <c r="EQV37" s="759"/>
      <c r="EQW37" s="759"/>
      <c r="EQX37" s="759"/>
      <c r="EQY37" s="759"/>
      <c r="EQZ37" s="759"/>
      <c r="ERA37" s="759"/>
      <c r="ERB37" s="759"/>
      <c r="ERC37" s="759"/>
      <c r="ERD37" s="759"/>
      <c r="ERE37" s="759"/>
      <c r="ERF37" s="759"/>
      <c r="ERG37" s="759"/>
      <c r="ERH37" s="759"/>
      <c r="ERI37" s="759"/>
      <c r="ERJ37" s="759"/>
      <c r="ERK37" s="759"/>
      <c r="ERL37" s="759"/>
      <c r="ERM37" s="759"/>
      <c r="ERN37" s="759"/>
      <c r="ERO37" s="759"/>
      <c r="ERP37" s="759"/>
      <c r="ERQ37" s="759"/>
      <c r="ERR37" s="759"/>
      <c r="ERS37" s="759"/>
      <c r="ERT37" s="759"/>
      <c r="ERU37" s="759"/>
      <c r="ERV37" s="759"/>
      <c r="ERW37" s="759"/>
      <c r="ERX37" s="759"/>
      <c r="ERY37" s="759"/>
      <c r="ERZ37" s="759"/>
      <c r="ESA37" s="759"/>
      <c r="ESB37" s="759"/>
      <c r="ESC37" s="759"/>
      <c r="ESD37" s="759"/>
      <c r="ESE37" s="759"/>
      <c r="ESF37" s="759"/>
      <c r="ESG37" s="759"/>
      <c r="ESH37" s="759"/>
      <c r="ESI37" s="759"/>
      <c r="ESJ37" s="759"/>
      <c r="ESK37" s="759"/>
      <c r="ESL37" s="759"/>
      <c r="ESM37" s="759"/>
      <c r="ESN37" s="759"/>
      <c r="ESO37" s="759"/>
      <c r="ESP37" s="759"/>
      <c r="ESQ37" s="759"/>
      <c r="ESR37" s="759"/>
      <c r="ESS37" s="759"/>
      <c r="EST37" s="759"/>
      <c r="ESU37" s="759"/>
      <c r="ESV37" s="759"/>
      <c r="ESW37" s="759"/>
      <c r="ESX37" s="759"/>
      <c r="ESY37" s="759"/>
      <c r="ESZ37" s="759"/>
      <c r="ETA37" s="759"/>
      <c r="ETB37" s="759"/>
      <c r="ETC37" s="759"/>
      <c r="ETD37" s="759"/>
      <c r="ETE37" s="759"/>
      <c r="ETF37" s="759"/>
      <c r="ETG37" s="759"/>
      <c r="ETH37" s="759"/>
      <c r="ETI37" s="759"/>
      <c r="ETJ37" s="759"/>
      <c r="ETK37" s="759"/>
      <c r="ETL37" s="759"/>
      <c r="ETM37" s="759"/>
      <c r="ETN37" s="759"/>
      <c r="ETO37" s="759"/>
      <c r="ETP37" s="759"/>
      <c r="ETQ37" s="759"/>
      <c r="ETR37" s="759"/>
      <c r="ETS37" s="759"/>
      <c r="ETT37" s="759"/>
      <c r="ETU37" s="759"/>
      <c r="ETV37" s="759"/>
      <c r="ETW37" s="759"/>
      <c r="ETX37" s="759"/>
      <c r="ETY37" s="759"/>
      <c r="ETZ37" s="759"/>
      <c r="EUA37" s="759"/>
      <c r="EUB37" s="759"/>
      <c r="EUC37" s="759"/>
      <c r="EUD37" s="759"/>
      <c r="EUE37" s="759"/>
      <c r="EUF37" s="759"/>
      <c r="EUG37" s="759"/>
      <c r="EUH37" s="759"/>
      <c r="EUI37" s="759"/>
      <c r="EUJ37" s="759"/>
      <c r="EUK37" s="759"/>
      <c r="EUL37" s="759"/>
      <c r="EUM37" s="759"/>
      <c r="EUN37" s="759"/>
      <c r="EUO37" s="759"/>
      <c r="EUP37" s="759"/>
      <c r="EUQ37" s="759"/>
      <c r="EUR37" s="759"/>
      <c r="EUS37" s="759"/>
      <c r="EUT37" s="759"/>
      <c r="EUU37" s="759"/>
      <c r="EUV37" s="759"/>
      <c r="EUW37" s="759"/>
      <c r="EUX37" s="759"/>
      <c r="EUY37" s="759"/>
      <c r="EUZ37" s="759"/>
      <c r="EVA37" s="759"/>
      <c r="EVB37" s="759"/>
      <c r="EVC37" s="759"/>
      <c r="EVD37" s="759"/>
      <c r="EVE37" s="759"/>
      <c r="EVF37" s="759"/>
      <c r="EVG37" s="759"/>
      <c r="EVH37" s="759"/>
      <c r="EVI37" s="759"/>
      <c r="EVJ37" s="759"/>
      <c r="EVK37" s="759"/>
      <c r="EVL37" s="759"/>
      <c r="EVM37" s="759"/>
      <c r="EVN37" s="759"/>
      <c r="EVO37" s="759"/>
      <c r="EVP37" s="759"/>
      <c r="EVQ37" s="759"/>
      <c r="EVR37" s="759"/>
      <c r="EVS37" s="759"/>
      <c r="EVT37" s="759"/>
      <c r="EVU37" s="759"/>
      <c r="EVV37" s="759"/>
      <c r="EVW37" s="759"/>
      <c r="EVX37" s="759"/>
      <c r="EVY37" s="759"/>
      <c r="EVZ37" s="759"/>
      <c r="EWA37" s="759"/>
      <c r="EWB37" s="759"/>
      <c r="EWC37" s="759"/>
      <c r="EWD37" s="759"/>
      <c r="EWE37" s="759"/>
      <c r="EWF37" s="759"/>
      <c r="EWG37" s="759"/>
      <c r="EWH37" s="759"/>
      <c r="EWI37" s="759"/>
      <c r="EWJ37" s="759"/>
      <c r="EWK37" s="759"/>
      <c r="EWL37" s="759"/>
      <c r="EWM37" s="759"/>
      <c r="EWN37" s="759"/>
      <c r="EWO37" s="759"/>
      <c r="EWP37" s="759"/>
      <c r="EWQ37" s="759"/>
      <c r="EWR37" s="759"/>
      <c r="EWS37" s="759"/>
      <c r="EWT37" s="759"/>
      <c r="EWU37" s="759"/>
      <c r="EWV37" s="759"/>
      <c r="EWW37" s="759"/>
      <c r="EWX37" s="759"/>
      <c r="EWY37" s="759"/>
      <c r="EWZ37" s="759"/>
      <c r="EXA37" s="759"/>
      <c r="EXB37" s="759"/>
      <c r="EXC37" s="759"/>
      <c r="EXD37" s="759"/>
      <c r="EXE37" s="759"/>
      <c r="EXF37" s="759"/>
      <c r="EXG37" s="759"/>
      <c r="EXH37" s="759"/>
      <c r="EXI37" s="759"/>
      <c r="EXJ37" s="759"/>
      <c r="EXK37" s="759"/>
      <c r="EXL37" s="759"/>
      <c r="EXM37" s="759"/>
      <c r="EXN37" s="759"/>
      <c r="EXO37" s="759"/>
      <c r="EXP37" s="759"/>
      <c r="EXQ37" s="759"/>
      <c r="EXR37" s="759"/>
      <c r="EXS37" s="759"/>
      <c r="EXT37" s="759"/>
      <c r="EXU37" s="759"/>
      <c r="EXV37" s="759"/>
      <c r="EXW37" s="759"/>
      <c r="EXX37" s="759"/>
      <c r="EXY37" s="759"/>
      <c r="EXZ37" s="759"/>
      <c r="EYA37" s="759"/>
      <c r="EYB37" s="759"/>
      <c r="EYC37" s="759"/>
      <c r="EYD37" s="759"/>
      <c r="EYE37" s="759"/>
      <c r="EYF37" s="759"/>
      <c r="EYG37" s="759"/>
      <c r="EYH37" s="759"/>
      <c r="EYI37" s="759"/>
      <c r="EYJ37" s="759"/>
      <c r="EYK37" s="759"/>
      <c r="EYL37" s="759"/>
      <c r="EYM37" s="759"/>
      <c r="EYN37" s="759"/>
      <c r="EYO37" s="759"/>
      <c r="EYP37" s="759"/>
      <c r="EYQ37" s="759"/>
      <c r="EYR37" s="759"/>
      <c r="EYS37" s="759"/>
      <c r="EYT37" s="759"/>
      <c r="EYU37" s="759"/>
      <c r="EYV37" s="759"/>
      <c r="EYW37" s="759"/>
      <c r="EYX37" s="759"/>
      <c r="EYY37" s="759"/>
      <c r="EYZ37" s="759"/>
      <c r="EZA37" s="759"/>
      <c r="EZB37" s="759"/>
      <c r="EZC37" s="759"/>
      <c r="EZD37" s="759"/>
      <c r="EZE37" s="759"/>
      <c r="EZF37" s="759"/>
      <c r="EZG37" s="759"/>
      <c r="EZH37" s="759"/>
      <c r="EZI37" s="759"/>
      <c r="EZJ37" s="759"/>
      <c r="EZK37" s="759"/>
      <c r="EZL37" s="759"/>
      <c r="EZM37" s="759"/>
      <c r="EZN37" s="759"/>
      <c r="EZO37" s="759"/>
      <c r="EZP37" s="759"/>
      <c r="EZQ37" s="759"/>
      <c r="EZR37" s="759"/>
      <c r="EZS37" s="759"/>
      <c r="EZT37" s="759"/>
      <c r="EZU37" s="759"/>
      <c r="EZV37" s="759"/>
      <c r="EZW37" s="759"/>
      <c r="EZX37" s="759"/>
      <c r="EZY37" s="759"/>
      <c r="EZZ37" s="759"/>
      <c r="FAA37" s="759"/>
      <c r="FAB37" s="759"/>
      <c r="FAC37" s="759"/>
      <c r="FAD37" s="759"/>
      <c r="FAE37" s="759"/>
      <c r="FAF37" s="759"/>
      <c r="FAG37" s="759"/>
      <c r="FAH37" s="759"/>
      <c r="FAI37" s="759"/>
      <c r="FAJ37" s="759"/>
      <c r="FAK37" s="759"/>
      <c r="FAL37" s="759"/>
      <c r="FAM37" s="759"/>
      <c r="FAN37" s="759"/>
      <c r="FAO37" s="759"/>
      <c r="FAP37" s="759"/>
      <c r="FAQ37" s="759"/>
      <c r="FAR37" s="759"/>
      <c r="FAS37" s="759"/>
      <c r="FAT37" s="759"/>
      <c r="FAU37" s="759"/>
      <c r="FAV37" s="759"/>
      <c r="FAW37" s="759"/>
      <c r="FAX37" s="759"/>
      <c r="FAY37" s="759"/>
      <c r="FAZ37" s="759"/>
      <c r="FBA37" s="759"/>
      <c r="FBB37" s="759"/>
      <c r="FBC37" s="759"/>
      <c r="FBD37" s="759"/>
      <c r="FBE37" s="759"/>
      <c r="FBF37" s="759"/>
      <c r="FBG37" s="759"/>
      <c r="FBH37" s="759"/>
      <c r="FBI37" s="759"/>
      <c r="FBJ37" s="759"/>
      <c r="FBK37" s="759"/>
      <c r="FBL37" s="759"/>
      <c r="FBM37" s="759"/>
      <c r="FBN37" s="759"/>
      <c r="FBO37" s="759"/>
      <c r="FBP37" s="759"/>
      <c r="FBQ37" s="759"/>
      <c r="FBR37" s="759"/>
      <c r="FBS37" s="759"/>
      <c r="FBT37" s="759"/>
      <c r="FBU37" s="759"/>
      <c r="FBV37" s="759"/>
      <c r="FBW37" s="759"/>
      <c r="FBX37" s="759"/>
      <c r="FBY37" s="759"/>
      <c r="FBZ37" s="759"/>
      <c r="FCA37" s="759"/>
      <c r="FCB37" s="759"/>
      <c r="FCC37" s="759"/>
      <c r="FCD37" s="759"/>
      <c r="FCE37" s="759"/>
      <c r="FCF37" s="759"/>
      <c r="FCG37" s="759"/>
      <c r="FCH37" s="759"/>
      <c r="FCI37" s="759"/>
      <c r="FCJ37" s="759"/>
      <c r="FCK37" s="759"/>
      <c r="FCL37" s="759"/>
      <c r="FCM37" s="759"/>
      <c r="FCN37" s="759"/>
      <c r="FCO37" s="759"/>
      <c r="FCP37" s="759"/>
      <c r="FCQ37" s="759"/>
      <c r="FCR37" s="759"/>
      <c r="FCS37" s="759"/>
      <c r="FCT37" s="759"/>
      <c r="FCU37" s="759"/>
      <c r="FCV37" s="759"/>
      <c r="FCW37" s="759"/>
      <c r="FCX37" s="759"/>
      <c r="FCY37" s="759"/>
      <c r="FCZ37" s="759"/>
      <c r="FDA37" s="759"/>
      <c r="FDB37" s="759"/>
      <c r="FDC37" s="759"/>
      <c r="FDD37" s="759"/>
      <c r="FDE37" s="759"/>
      <c r="FDF37" s="759"/>
      <c r="FDG37" s="759"/>
      <c r="FDH37" s="759"/>
      <c r="FDI37" s="759"/>
      <c r="FDJ37" s="759"/>
      <c r="FDK37" s="759"/>
      <c r="FDL37" s="759"/>
      <c r="FDM37" s="759"/>
      <c r="FDN37" s="759"/>
      <c r="FDO37" s="759"/>
      <c r="FDP37" s="759"/>
      <c r="FDQ37" s="759"/>
      <c r="FDR37" s="759"/>
      <c r="FDS37" s="759"/>
      <c r="FDT37" s="759"/>
      <c r="FDU37" s="759"/>
      <c r="FDV37" s="759"/>
      <c r="FDW37" s="759"/>
      <c r="FDX37" s="759"/>
      <c r="FDY37" s="759"/>
      <c r="FDZ37" s="759"/>
      <c r="FEA37" s="759"/>
      <c r="FEB37" s="759"/>
      <c r="FEC37" s="759"/>
      <c r="FED37" s="759"/>
      <c r="FEE37" s="759"/>
      <c r="FEF37" s="759"/>
      <c r="FEG37" s="759"/>
      <c r="FEH37" s="759"/>
      <c r="FEI37" s="759"/>
      <c r="FEJ37" s="759"/>
      <c r="FEK37" s="759"/>
      <c r="FEL37" s="759"/>
      <c r="FEM37" s="759"/>
      <c r="FEN37" s="759"/>
      <c r="FEO37" s="759"/>
      <c r="FEP37" s="759"/>
      <c r="FEQ37" s="759"/>
      <c r="FER37" s="759"/>
      <c r="FES37" s="759"/>
      <c r="FET37" s="759"/>
      <c r="FEU37" s="759"/>
      <c r="FEV37" s="759"/>
      <c r="FEW37" s="759"/>
      <c r="FEX37" s="759"/>
      <c r="FEY37" s="759"/>
      <c r="FEZ37" s="759"/>
      <c r="FFA37" s="759"/>
      <c r="FFB37" s="759"/>
      <c r="FFC37" s="759"/>
      <c r="FFD37" s="759"/>
      <c r="FFE37" s="759"/>
      <c r="FFF37" s="759"/>
      <c r="FFG37" s="759"/>
      <c r="FFH37" s="759"/>
      <c r="FFI37" s="759"/>
      <c r="FFJ37" s="759"/>
      <c r="FFK37" s="759"/>
      <c r="FFL37" s="759"/>
      <c r="FFM37" s="759"/>
      <c r="FFN37" s="759"/>
      <c r="FFO37" s="759"/>
      <c r="FFP37" s="759"/>
      <c r="FFQ37" s="759"/>
      <c r="FFR37" s="759"/>
      <c r="FFS37" s="759"/>
      <c r="FFT37" s="759"/>
      <c r="FFU37" s="759"/>
      <c r="FFV37" s="759"/>
      <c r="FFW37" s="759"/>
      <c r="FFX37" s="759"/>
      <c r="FFY37" s="759"/>
      <c r="FFZ37" s="759"/>
      <c r="FGA37" s="759"/>
      <c r="FGB37" s="759"/>
      <c r="FGC37" s="759"/>
      <c r="FGD37" s="759"/>
      <c r="FGE37" s="759"/>
      <c r="FGF37" s="759"/>
      <c r="FGG37" s="759"/>
      <c r="FGH37" s="759"/>
      <c r="FGI37" s="759"/>
      <c r="FGJ37" s="759"/>
      <c r="FGK37" s="759"/>
      <c r="FGL37" s="759"/>
      <c r="FGM37" s="759"/>
      <c r="FGN37" s="759"/>
      <c r="FGO37" s="759"/>
      <c r="FGP37" s="759"/>
      <c r="FGQ37" s="759"/>
      <c r="FGR37" s="759"/>
      <c r="FGS37" s="759"/>
      <c r="FGT37" s="759"/>
      <c r="FGU37" s="759"/>
      <c r="FGV37" s="759"/>
      <c r="FGW37" s="759"/>
      <c r="FGX37" s="759"/>
      <c r="FGY37" s="759"/>
      <c r="FGZ37" s="759"/>
      <c r="FHA37" s="759"/>
      <c r="FHB37" s="759"/>
      <c r="FHC37" s="759"/>
      <c r="FHD37" s="759"/>
      <c r="FHE37" s="759"/>
      <c r="FHF37" s="759"/>
      <c r="FHG37" s="759"/>
      <c r="FHH37" s="759"/>
      <c r="FHI37" s="759"/>
      <c r="FHJ37" s="759"/>
      <c r="FHK37" s="759"/>
      <c r="FHL37" s="759"/>
      <c r="FHM37" s="759"/>
      <c r="FHN37" s="759"/>
      <c r="FHO37" s="759"/>
      <c r="FHP37" s="759"/>
      <c r="FHQ37" s="759"/>
      <c r="FHR37" s="759"/>
      <c r="FHS37" s="759"/>
      <c r="FHT37" s="759"/>
      <c r="FHU37" s="759"/>
      <c r="FHV37" s="759"/>
      <c r="FHW37" s="759"/>
      <c r="FHX37" s="759"/>
      <c r="FHY37" s="759"/>
      <c r="FHZ37" s="759"/>
      <c r="FIA37" s="759"/>
      <c r="FIB37" s="759"/>
      <c r="FIC37" s="759"/>
      <c r="FID37" s="759"/>
      <c r="FIE37" s="759"/>
      <c r="FIF37" s="759"/>
      <c r="FIG37" s="759"/>
      <c r="FIH37" s="759"/>
      <c r="FII37" s="759"/>
      <c r="FIJ37" s="759"/>
      <c r="FIK37" s="759"/>
      <c r="FIL37" s="759"/>
      <c r="FIM37" s="759"/>
      <c r="FIN37" s="759"/>
      <c r="FIO37" s="759"/>
      <c r="FIP37" s="759"/>
      <c r="FIQ37" s="759"/>
      <c r="FIR37" s="759"/>
      <c r="FIS37" s="759"/>
      <c r="FIT37" s="759"/>
      <c r="FIU37" s="759"/>
      <c r="FIV37" s="759"/>
      <c r="FIW37" s="759"/>
      <c r="FIX37" s="759"/>
      <c r="FIY37" s="759"/>
      <c r="FIZ37" s="759"/>
      <c r="FJA37" s="759"/>
      <c r="FJB37" s="759"/>
      <c r="FJC37" s="759"/>
      <c r="FJD37" s="759"/>
      <c r="FJE37" s="759"/>
      <c r="FJF37" s="759"/>
      <c r="FJG37" s="759"/>
      <c r="FJH37" s="759"/>
      <c r="FJI37" s="759"/>
      <c r="FJJ37" s="759"/>
      <c r="FJK37" s="759"/>
      <c r="FJL37" s="759"/>
      <c r="FJM37" s="759"/>
      <c r="FJN37" s="759"/>
      <c r="FJO37" s="759"/>
      <c r="FJP37" s="759"/>
      <c r="FJQ37" s="759"/>
      <c r="FJR37" s="759"/>
      <c r="FJS37" s="759"/>
      <c r="FJT37" s="759"/>
      <c r="FJU37" s="759"/>
      <c r="FJV37" s="759"/>
      <c r="FJW37" s="759"/>
      <c r="FJX37" s="759"/>
      <c r="FJY37" s="759"/>
      <c r="FJZ37" s="759"/>
      <c r="FKA37" s="759"/>
      <c r="FKB37" s="759"/>
      <c r="FKC37" s="759"/>
      <c r="FKD37" s="759"/>
      <c r="FKE37" s="759"/>
      <c r="FKF37" s="759"/>
      <c r="FKG37" s="759"/>
      <c r="FKH37" s="759"/>
      <c r="FKI37" s="759"/>
      <c r="FKJ37" s="759"/>
      <c r="FKK37" s="759"/>
      <c r="FKL37" s="759"/>
      <c r="FKM37" s="759"/>
      <c r="FKN37" s="759"/>
      <c r="FKO37" s="759"/>
      <c r="FKP37" s="759"/>
      <c r="FKQ37" s="759"/>
      <c r="FKR37" s="759"/>
      <c r="FKS37" s="759"/>
      <c r="FKT37" s="759"/>
      <c r="FKU37" s="759"/>
      <c r="FKV37" s="759"/>
      <c r="FKW37" s="759"/>
      <c r="FKX37" s="759"/>
      <c r="FKY37" s="759"/>
      <c r="FKZ37" s="759"/>
      <c r="FLA37" s="759"/>
      <c r="FLB37" s="759"/>
      <c r="FLC37" s="759"/>
      <c r="FLD37" s="759"/>
      <c r="FLE37" s="759"/>
      <c r="FLF37" s="759"/>
      <c r="FLG37" s="759"/>
      <c r="FLH37" s="759"/>
      <c r="FLI37" s="759"/>
      <c r="FLJ37" s="759"/>
      <c r="FLK37" s="759"/>
      <c r="FLL37" s="759"/>
      <c r="FLM37" s="759"/>
      <c r="FLN37" s="759"/>
      <c r="FLO37" s="759"/>
      <c r="FLP37" s="759"/>
      <c r="FLQ37" s="759"/>
      <c r="FLR37" s="759"/>
      <c r="FLS37" s="759"/>
      <c r="FLT37" s="759"/>
      <c r="FLU37" s="759"/>
      <c r="FLV37" s="759"/>
      <c r="FLW37" s="759"/>
      <c r="FLX37" s="759"/>
      <c r="FLY37" s="759"/>
      <c r="FLZ37" s="759"/>
      <c r="FMA37" s="759"/>
      <c r="FMB37" s="759"/>
      <c r="FMC37" s="759"/>
      <c r="FMD37" s="759"/>
      <c r="FME37" s="759"/>
      <c r="FMF37" s="759"/>
      <c r="FMG37" s="759"/>
      <c r="FMH37" s="759"/>
      <c r="FMI37" s="759"/>
      <c r="FMJ37" s="759"/>
      <c r="FMK37" s="759"/>
      <c r="FML37" s="759"/>
      <c r="FMM37" s="759"/>
      <c r="FMN37" s="759"/>
      <c r="FMO37" s="759"/>
      <c r="FMP37" s="759"/>
      <c r="FMQ37" s="759"/>
      <c r="FMR37" s="759"/>
      <c r="FMS37" s="759"/>
      <c r="FMT37" s="759"/>
      <c r="FMU37" s="759"/>
      <c r="FMV37" s="759"/>
      <c r="FMW37" s="759"/>
      <c r="FMX37" s="759"/>
      <c r="FMY37" s="759"/>
      <c r="FMZ37" s="759"/>
      <c r="FNA37" s="759"/>
      <c r="FNB37" s="759"/>
      <c r="FNC37" s="759"/>
      <c r="FND37" s="759"/>
      <c r="FNE37" s="759"/>
      <c r="FNF37" s="759"/>
      <c r="FNG37" s="759"/>
      <c r="FNH37" s="759"/>
      <c r="FNI37" s="759"/>
      <c r="FNJ37" s="759"/>
      <c r="FNK37" s="759"/>
      <c r="FNL37" s="759"/>
      <c r="FNM37" s="759"/>
      <c r="FNN37" s="759"/>
      <c r="FNO37" s="759"/>
      <c r="FNP37" s="759"/>
      <c r="FNQ37" s="759"/>
      <c r="FNR37" s="759"/>
      <c r="FNS37" s="759"/>
      <c r="FNT37" s="759"/>
      <c r="FNU37" s="759"/>
      <c r="FNV37" s="759"/>
      <c r="FNW37" s="759"/>
      <c r="FNX37" s="759"/>
      <c r="FNY37" s="759"/>
      <c r="FNZ37" s="759"/>
      <c r="FOA37" s="759"/>
      <c r="FOB37" s="759"/>
      <c r="FOC37" s="759"/>
      <c r="FOD37" s="759"/>
      <c r="FOE37" s="759"/>
      <c r="FOF37" s="759"/>
      <c r="FOG37" s="759"/>
      <c r="FOH37" s="759"/>
      <c r="FOI37" s="759"/>
      <c r="FOJ37" s="759"/>
      <c r="FOK37" s="759"/>
      <c r="FOL37" s="759"/>
      <c r="FOM37" s="759"/>
      <c r="FON37" s="759"/>
      <c r="FOO37" s="759"/>
      <c r="FOP37" s="759"/>
      <c r="FOQ37" s="759"/>
      <c r="FOR37" s="759"/>
      <c r="FOS37" s="759"/>
      <c r="FOT37" s="759"/>
      <c r="FOU37" s="759"/>
      <c r="FOV37" s="759"/>
      <c r="FOW37" s="759"/>
      <c r="FOX37" s="759"/>
      <c r="FOY37" s="759"/>
      <c r="FOZ37" s="759"/>
      <c r="FPA37" s="759"/>
      <c r="FPB37" s="759"/>
      <c r="FPC37" s="759"/>
      <c r="FPD37" s="759"/>
      <c r="FPE37" s="759"/>
      <c r="FPF37" s="759"/>
      <c r="FPG37" s="759"/>
      <c r="FPH37" s="759"/>
      <c r="FPI37" s="759"/>
      <c r="FPJ37" s="759"/>
      <c r="FPK37" s="759"/>
      <c r="FPL37" s="759"/>
      <c r="FPM37" s="759"/>
      <c r="FPN37" s="759"/>
      <c r="FPO37" s="759"/>
      <c r="FPP37" s="759"/>
      <c r="FPQ37" s="759"/>
      <c r="FPR37" s="759"/>
      <c r="FPS37" s="759"/>
      <c r="FPT37" s="759"/>
      <c r="FPU37" s="759"/>
      <c r="FPV37" s="759"/>
      <c r="FPW37" s="759"/>
      <c r="FPX37" s="759"/>
      <c r="FPY37" s="759"/>
      <c r="FPZ37" s="759"/>
      <c r="FQA37" s="759"/>
      <c r="FQB37" s="759"/>
      <c r="FQC37" s="759"/>
      <c r="FQD37" s="759"/>
      <c r="FQE37" s="759"/>
      <c r="FQF37" s="759"/>
      <c r="FQG37" s="759"/>
      <c r="FQH37" s="759"/>
      <c r="FQI37" s="759"/>
      <c r="FQJ37" s="759"/>
      <c r="FQK37" s="759"/>
      <c r="FQL37" s="759"/>
      <c r="FQM37" s="759"/>
      <c r="FQN37" s="759"/>
      <c r="FQO37" s="759"/>
      <c r="FQP37" s="759"/>
      <c r="FQQ37" s="759"/>
      <c r="FQR37" s="759"/>
      <c r="FQS37" s="759"/>
      <c r="FQT37" s="759"/>
      <c r="FQU37" s="759"/>
      <c r="FQV37" s="759"/>
      <c r="FQW37" s="759"/>
      <c r="FQX37" s="759"/>
      <c r="FQY37" s="759"/>
      <c r="FQZ37" s="759"/>
      <c r="FRA37" s="759"/>
      <c r="FRB37" s="759"/>
      <c r="FRC37" s="759"/>
      <c r="FRD37" s="759"/>
      <c r="FRE37" s="759"/>
      <c r="FRF37" s="759"/>
      <c r="FRG37" s="759"/>
      <c r="FRH37" s="759"/>
      <c r="FRI37" s="759"/>
      <c r="FRJ37" s="759"/>
      <c r="FRK37" s="759"/>
      <c r="FRL37" s="759"/>
      <c r="FRM37" s="759"/>
      <c r="FRN37" s="759"/>
      <c r="FRO37" s="759"/>
      <c r="FRP37" s="759"/>
      <c r="FRQ37" s="759"/>
      <c r="FRR37" s="759"/>
      <c r="FRS37" s="759"/>
      <c r="FRT37" s="759"/>
      <c r="FRU37" s="759"/>
      <c r="FRV37" s="759"/>
      <c r="FRW37" s="759"/>
      <c r="FRX37" s="759"/>
      <c r="FRY37" s="759"/>
      <c r="FRZ37" s="759"/>
      <c r="FSA37" s="759"/>
      <c r="FSB37" s="759"/>
      <c r="FSC37" s="759"/>
      <c r="FSD37" s="759"/>
      <c r="FSE37" s="759"/>
      <c r="FSF37" s="759"/>
      <c r="FSG37" s="759"/>
      <c r="FSH37" s="759"/>
      <c r="FSI37" s="759"/>
      <c r="FSJ37" s="759"/>
      <c r="FSK37" s="759"/>
      <c r="FSL37" s="759"/>
      <c r="FSM37" s="759"/>
      <c r="FSN37" s="759"/>
      <c r="FSO37" s="759"/>
      <c r="FSP37" s="759"/>
      <c r="FSQ37" s="759"/>
      <c r="FSR37" s="759"/>
      <c r="FSS37" s="759"/>
      <c r="FST37" s="759"/>
      <c r="FSU37" s="759"/>
      <c r="FSV37" s="759"/>
      <c r="FSW37" s="759"/>
      <c r="FSX37" s="759"/>
      <c r="FSY37" s="759"/>
      <c r="FSZ37" s="759"/>
      <c r="FTA37" s="759"/>
      <c r="FTB37" s="759"/>
      <c r="FTC37" s="759"/>
      <c r="FTD37" s="759"/>
      <c r="FTE37" s="759"/>
      <c r="FTF37" s="759"/>
      <c r="FTG37" s="759"/>
      <c r="FTH37" s="759"/>
      <c r="FTI37" s="759"/>
      <c r="FTJ37" s="759"/>
      <c r="FTK37" s="759"/>
      <c r="FTL37" s="759"/>
      <c r="FTM37" s="759"/>
      <c r="FTN37" s="759"/>
      <c r="FTO37" s="759"/>
      <c r="FTP37" s="759"/>
      <c r="FTQ37" s="759"/>
      <c r="FTR37" s="759"/>
      <c r="FTS37" s="759"/>
      <c r="FTT37" s="759"/>
      <c r="FTU37" s="759"/>
      <c r="FTV37" s="759"/>
      <c r="FTW37" s="759"/>
      <c r="FTX37" s="759"/>
      <c r="FTY37" s="759"/>
      <c r="FTZ37" s="759"/>
      <c r="FUA37" s="759"/>
      <c r="FUB37" s="759"/>
      <c r="FUC37" s="759"/>
      <c r="FUD37" s="759"/>
      <c r="FUE37" s="759"/>
      <c r="FUF37" s="759"/>
      <c r="FUG37" s="759"/>
      <c r="FUH37" s="759"/>
      <c r="FUI37" s="759"/>
      <c r="FUJ37" s="759"/>
      <c r="FUK37" s="759"/>
      <c r="FUL37" s="759"/>
      <c r="FUM37" s="759"/>
      <c r="FUN37" s="759"/>
      <c r="FUO37" s="759"/>
      <c r="FUP37" s="759"/>
      <c r="FUQ37" s="759"/>
      <c r="FUR37" s="759"/>
      <c r="FUS37" s="759"/>
      <c r="FUT37" s="759"/>
      <c r="FUU37" s="759"/>
      <c r="FUV37" s="759"/>
      <c r="FUW37" s="759"/>
      <c r="FUX37" s="759"/>
      <c r="FUY37" s="759"/>
      <c r="FUZ37" s="759"/>
      <c r="FVA37" s="759"/>
      <c r="FVB37" s="759"/>
      <c r="FVC37" s="759"/>
      <c r="FVD37" s="759"/>
      <c r="FVE37" s="759"/>
      <c r="FVF37" s="759"/>
      <c r="FVG37" s="759"/>
      <c r="FVH37" s="759"/>
      <c r="FVI37" s="759"/>
      <c r="FVJ37" s="759"/>
      <c r="FVK37" s="759"/>
      <c r="FVL37" s="759"/>
      <c r="FVM37" s="759"/>
      <c r="FVN37" s="759"/>
      <c r="FVO37" s="759"/>
      <c r="FVP37" s="759"/>
      <c r="FVQ37" s="759"/>
      <c r="FVR37" s="759"/>
      <c r="FVS37" s="759"/>
      <c r="FVT37" s="759"/>
      <c r="FVU37" s="759"/>
      <c r="FVV37" s="759"/>
      <c r="FVW37" s="759"/>
      <c r="FVX37" s="759"/>
      <c r="FVY37" s="759"/>
      <c r="FVZ37" s="759"/>
      <c r="FWA37" s="759"/>
      <c r="FWB37" s="759"/>
      <c r="FWC37" s="759"/>
      <c r="FWD37" s="759"/>
      <c r="FWE37" s="759"/>
      <c r="FWF37" s="759"/>
      <c r="FWG37" s="759"/>
      <c r="FWH37" s="759"/>
      <c r="FWI37" s="759"/>
      <c r="FWJ37" s="759"/>
      <c r="FWK37" s="759"/>
      <c r="FWL37" s="759"/>
      <c r="FWM37" s="759"/>
      <c r="FWN37" s="759"/>
      <c r="FWO37" s="759"/>
      <c r="FWP37" s="759"/>
      <c r="FWQ37" s="759"/>
      <c r="FWR37" s="759"/>
      <c r="FWS37" s="759"/>
      <c r="FWT37" s="759"/>
      <c r="FWU37" s="759"/>
      <c r="FWV37" s="759"/>
      <c r="FWW37" s="759"/>
      <c r="FWX37" s="759"/>
      <c r="FWY37" s="759"/>
      <c r="FWZ37" s="759"/>
      <c r="FXA37" s="759"/>
      <c r="FXB37" s="759"/>
      <c r="FXC37" s="759"/>
      <c r="FXD37" s="759"/>
      <c r="FXE37" s="759"/>
      <c r="FXF37" s="759"/>
      <c r="FXG37" s="759"/>
      <c r="FXH37" s="759"/>
      <c r="FXI37" s="759"/>
      <c r="FXJ37" s="759"/>
      <c r="FXK37" s="759"/>
      <c r="FXL37" s="759"/>
      <c r="FXM37" s="759"/>
      <c r="FXN37" s="759"/>
      <c r="FXO37" s="759"/>
      <c r="FXP37" s="759"/>
      <c r="FXQ37" s="759"/>
      <c r="FXR37" s="759"/>
      <c r="FXS37" s="759"/>
      <c r="FXT37" s="759"/>
      <c r="FXU37" s="759"/>
      <c r="FXV37" s="759"/>
      <c r="FXW37" s="759"/>
      <c r="FXX37" s="759"/>
      <c r="FXY37" s="759"/>
      <c r="FXZ37" s="759"/>
      <c r="FYA37" s="759"/>
      <c r="FYB37" s="759"/>
      <c r="FYC37" s="759"/>
      <c r="FYD37" s="759"/>
      <c r="FYE37" s="759"/>
      <c r="FYF37" s="759"/>
      <c r="FYG37" s="759"/>
      <c r="FYH37" s="759"/>
      <c r="FYI37" s="759"/>
      <c r="FYJ37" s="759"/>
      <c r="FYK37" s="759"/>
      <c r="FYL37" s="759"/>
      <c r="FYM37" s="759"/>
      <c r="FYN37" s="759"/>
      <c r="FYO37" s="759"/>
      <c r="FYP37" s="759"/>
      <c r="FYQ37" s="759"/>
      <c r="FYR37" s="759"/>
      <c r="FYS37" s="759"/>
      <c r="FYT37" s="759"/>
      <c r="FYU37" s="759"/>
      <c r="FYV37" s="759"/>
      <c r="FYW37" s="759"/>
      <c r="FYX37" s="759"/>
      <c r="FYY37" s="759"/>
      <c r="FYZ37" s="759"/>
      <c r="FZA37" s="759"/>
      <c r="FZB37" s="759"/>
      <c r="FZC37" s="759"/>
      <c r="FZD37" s="759"/>
      <c r="FZE37" s="759"/>
      <c r="FZF37" s="759"/>
      <c r="FZG37" s="759"/>
      <c r="FZH37" s="759"/>
      <c r="FZI37" s="759"/>
      <c r="FZJ37" s="759"/>
      <c r="FZK37" s="759"/>
      <c r="FZL37" s="759"/>
      <c r="FZM37" s="759"/>
      <c r="FZN37" s="759"/>
      <c r="FZO37" s="759"/>
      <c r="FZP37" s="759"/>
      <c r="FZQ37" s="759"/>
      <c r="FZR37" s="759"/>
      <c r="FZS37" s="759"/>
      <c r="FZT37" s="759"/>
      <c r="FZU37" s="759"/>
      <c r="FZV37" s="759"/>
      <c r="FZW37" s="759"/>
      <c r="FZX37" s="759"/>
      <c r="FZY37" s="759"/>
      <c r="FZZ37" s="759"/>
      <c r="GAA37" s="759"/>
      <c r="GAB37" s="759"/>
      <c r="GAC37" s="759"/>
      <c r="GAD37" s="759"/>
      <c r="GAE37" s="759"/>
      <c r="GAF37" s="759"/>
      <c r="GAG37" s="759"/>
      <c r="GAH37" s="759"/>
      <c r="GAI37" s="759"/>
      <c r="GAJ37" s="759"/>
      <c r="GAK37" s="759"/>
      <c r="GAL37" s="759"/>
      <c r="GAM37" s="759"/>
      <c r="GAN37" s="759"/>
      <c r="GAO37" s="759"/>
      <c r="GAP37" s="759"/>
      <c r="GAQ37" s="759"/>
      <c r="GAR37" s="759"/>
      <c r="GAS37" s="759"/>
      <c r="GAT37" s="759"/>
      <c r="GAU37" s="759"/>
      <c r="GAV37" s="759"/>
      <c r="GAW37" s="759"/>
      <c r="GAX37" s="759"/>
      <c r="GAY37" s="759"/>
      <c r="GAZ37" s="759"/>
      <c r="GBA37" s="759"/>
      <c r="GBB37" s="759"/>
      <c r="GBC37" s="759"/>
      <c r="GBD37" s="759"/>
      <c r="GBE37" s="759"/>
      <c r="GBF37" s="759"/>
      <c r="GBG37" s="759"/>
      <c r="GBH37" s="759"/>
      <c r="GBI37" s="759"/>
      <c r="GBJ37" s="759"/>
      <c r="GBK37" s="759"/>
      <c r="GBL37" s="759"/>
      <c r="GBM37" s="759"/>
      <c r="GBN37" s="759"/>
      <c r="GBO37" s="759"/>
      <c r="GBP37" s="759"/>
      <c r="GBQ37" s="759"/>
      <c r="GBR37" s="759"/>
      <c r="GBS37" s="759"/>
      <c r="GBT37" s="759"/>
      <c r="GBU37" s="759"/>
      <c r="GBV37" s="759"/>
      <c r="GBW37" s="759"/>
      <c r="GBX37" s="759"/>
      <c r="GBY37" s="759"/>
      <c r="GBZ37" s="759"/>
      <c r="GCA37" s="759"/>
      <c r="GCB37" s="759"/>
      <c r="GCC37" s="759"/>
      <c r="GCD37" s="759"/>
      <c r="GCE37" s="759"/>
      <c r="GCF37" s="759"/>
      <c r="GCG37" s="759"/>
      <c r="GCH37" s="759"/>
      <c r="GCI37" s="759"/>
      <c r="GCJ37" s="759"/>
      <c r="GCK37" s="759"/>
      <c r="GCL37" s="759"/>
      <c r="GCM37" s="759"/>
      <c r="GCN37" s="759"/>
      <c r="GCO37" s="759"/>
      <c r="GCP37" s="759"/>
      <c r="GCQ37" s="759"/>
      <c r="GCR37" s="759"/>
      <c r="GCS37" s="759"/>
      <c r="GCT37" s="759"/>
      <c r="GCU37" s="759"/>
      <c r="GCV37" s="759"/>
      <c r="GCW37" s="759"/>
      <c r="GCX37" s="759"/>
      <c r="GCY37" s="759"/>
      <c r="GCZ37" s="759"/>
      <c r="GDA37" s="759"/>
      <c r="GDB37" s="759"/>
      <c r="GDC37" s="759"/>
      <c r="GDD37" s="759"/>
      <c r="GDE37" s="759"/>
      <c r="GDF37" s="759"/>
      <c r="GDG37" s="759"/>
      <c r="GDH37" s="759"/>
      <c r="GDI37" s="759"/>
      <c r="GDJ37" s="759"/>
      <c r="GDK37" s="759"/>
      <c r="GDL37" s="759"/>
      <c r="GDM37" s="759"/>
      <c r="GDN37" s="759"/>
      <c r="GDO37" s="759"/>
      <c r="GDP37" s="759"/>
      <c r="GDQ37" s="759"/>
      <c r="GDR37" s="759"/>
      <c r="GDS37" s="759"/>
      <c r="GDT37" s="759"/>
      <c r="GDU37" s="759"/>
      <c r="GDV37" s="759"/>
      <c r="GDW37" s="759"/>
      <c r="GDX37" s="759"/>
      <c r="GDY37" s="759"/>
      <c r="GDZ37" s="759"/>
      <c r="GEA37" s="759"/>
      <c r="GEB37" s="759"/>
      <c r="GEC37" s="759"/>
      <c r="GED37" s="759"/>
      <c r="GEE37" s="759"/>
      <c r="GEF37" s="759"/>
      <c r="GEG37" s="759"/>
      <c r="GEH37" s="759"/>
      <c r="GEI37" s="759"/>
      <c r="GEJ37" s="759"/>
      <c r="GEK37" s="759"/>
      <c r="GEL37" s="759"/>
      <c r="GEM37" s="759"/>
      <c r="GEN37" s="759"/>
      <c r="GEO37" s="759"/>
      <c r="GEP37" s="759"/>
      <c r="GEQ37" s="759"/>
      <c r="GER37" s="759"/>
      <c r="GES37" s="759"/>
      <c r="GET37" s="759"/>
      <c r="GEU37" s="759"/>
      <c r="GEV37" s="759"/>
      <c r="GEW37" s="759"/>
      <c r="GEX37" s="759"/>
      <c r="GEY37" s="759"/>
      <c r="GEZ37" s="759"/>
      <c r="GFA37" s="759"/>
      <c r="GFB37" s="759"/>
      <c r="GFC37" s="759"/>
      <c r="GFD37" s="759"/>
      <c r="GFE37" s="759"/>
      <c r="GFF37" s="759"/>
      <c r="GFG37" s="759"/>
      <c r="GFH37" s="759"/>
      <c r="GFI37" s="759"/>
      <c r="GFJ37" s="759"/>
      <c r="GFK37" s="759"/>
      <c r="GFL37" s="759"/>
      <c r="GFM37" s="759"/>
      <c r="GFN37" s="759"/>
      <c r="GFO37" s="759"/>
      <c r="GFP37" s="759"/>
      <c r="GFQ37" s="759"/>
      <c r="GFR37" s="759"/>
      <c r="GFS37" s="759"/>
      <c r="GFT37" s="759"/>
      <c r="GFU37" s="759"/>
      <c r="GFV37" s="759"/>
      <c r="GFW37" s="759"/>
      <c r="GFX37" s="759"/>
      <c r="GFY37" s="759"/>
      <c r="GFZ37" s="759"/>
      <c r="GGA37" s="759"/>
      <c r="GGB37" s="759"/>
      <c r="GGC37" s="759"/>
      <c r="GGD37" s="759"/>
      <c r="GGE37" s="759"/>
      <c r="GGF37" s="759"/>
      <c r="GGG37" s="759"/>
      <c r="GGH37" s="759"/>
      <c r="GGI37" s="759"/>
      <c r="GGJ37" s="759"/>
      <c r="GGK37" s="759"/>
      <c r="GGL37" s="759"/>
      <c r="GGM37" s="759"/>
      <c r="GGN37" s="759"/>
      <c r="GGO37" s="759"/>
      <c r="GGP37" s="759"/>
      <c r="GGQ37" s="759"/>
      <c r="GGR37" s="759"/>
      <c r="GGS37" s="759"/>
      <c r="GGT37" s="759"/>
      <c r="GGU37" s="759"/>
      <c r="GGV37" s="759"/>
      <c r="GGW37" s="759"/>
      <c r="GGX37" s="759"/>
      <c r="GGY37" s="759"/>
      <c r="GGZ37" s="759"/>
      <c r="GHA37" s="759"/>
      <c r="GHB37" s="759"/>
      <c r="GHC37" s="759"/>
      <c r="GHD37" s="759"/>
      <c r="GHE37" s="759"/>
      <c r="GHF37" s="759"/>
      <c r="GHG37" s="759"/>
      <c r="GHH37" s="759"/>
      <c r="GHI37" s="759"/>
      <c r="GHJ37" s="759"/>
      <c r="GHK37" s="759"/>
      <c r="GHL37" s="759"/>
      <c r="GHM37" s="759"/>
      <c r="GHN37" s="759"/>
      <c r="GHO37" s="759"/>
      <c r="GHP37" s="759"/>
      <c r="GHQ37" s="759"/>
      <c r="GHR37" s="759"/>
      <c r="GHS37" s="759"/>
      <c r="GHT37" s="759"/>
      <c r="GHU37" s="759"/>
      <c r="GHV37" s="759"/>
      <c r="GHW37" s="759"/>
      <c r="GHX37" s="759"/>
      <c r="GHY37" s="759"/>
      <c r="GHZ37" s="759"/>
      <c r="GIA37" s="759"/>
      <c r="GIB37" s="759"/>
      <c r="GIC37" s="759"/>
      <c r="GID37" s="759"/>
      <c r="GIE37" s="759"/>
      <c r="GIF37" s="759"/>
      <c r="GIG37" s="759"/>
      <c r="GIH37" s="759"/>
      <c r="GII37" s="759"/>
      <c r="GIJ37" s="759"/>
      <c r="GIK37" s="759"/>
      <c r="GIL37" s="759"/>
      <c r="GIM37" s="759"/>
      <c r="GIN37" s="759"/>
      <c r="GIO37" s="759"/>
      <c r="GIP37" s="759"/>
      <c r="GIQ37" s="759"/>
      <c r="GIR37" s="759"/>
      <c r="GIS37" s="759"/>
      <c r="GIT37" s="759"/>
      <c r="GIU37" s="759"/>
      <c r="GIV37" s="759"/>
      <c r="GIW37" s="759"/>
      <c r="GIX37" s="759"/>
      <c r="GIY37" s="759"/>
      <c r="GIZ37" s="759"/>
      <c r="GJA37" s="759"/>
      <c r="GJB37" s="759"/>
      <c r="GJC37" s="759"/>
      <c r="GJD37" s="759"/>
      <c r="GJE37" s="759"/>
      <c r="GJF37" s="759"/>
      <c r="GJG37" s="759"/>
      <c r="GJH37" s="759"/>
      <c r="GJI37" s="759"/>
      <c r="GJJ37" s="759"/>
      <c r="GJK37" s="759"/>
      <c r="GJL37" s="759"/>
      <c r="GJM37" s="759"/>
      <c r="GJN37" s="759"/>
      <c r="GJO37" s="759"/>
      <c r="GJP37" s="759"/>
      <c r="GJQ37" s="759"/>
      <c r="GJR37" s="759"/>
      <c r="GJS37" s="759"/>
      <c r="GJT37" s="759"/>
      <c r="GJU37" s="759"/>
      <c r="GJV37" s="759"/>
      <c r="GJW37" s="759"/>
      <c r="GJX37" s="759"/>
      <c r="GJY37" s="759"/>
      <c r="GJZ37" s="759"/>
      <c r="GKA37" s="759"/>
      <c r="GKB37" s="759"/>
      <c r="GKC37" s="759"/>
      <c r="GKD37" s="759"/>
      <c r="GKE37" s="759"/>
      <c r="GKF37" s="759"/>
      <c r="GKG37" s="759"/>
      <c r="GKH37" s="759"/>
      <c r="GKI37" s="759"/>
      <c r="GKJ37" s="759"/>
      <c r="GKK37" s="759"/>
      <c r="GKL37" s="759"/>
      <c r="GKM37" s="759"/>
      <c r="GKN37" s="759"/>
      <c r="GKO37" s="759"/>
      <c r="GKP37" s="759"/>
      <c r="GKQ37" s="759"/>
      <c r="GKR37" s="759"/>
      <c r="GKS37" s="759"/>
      <c r="GKT37" s="759"/>
      <c r="GKU37" s="759"/>
      <c r="GKV37" s="759"/>
      <c r="GKW37" s="759"/>
      <c r="GKX37" s="759"/>
      <c r="GKY37" s="759"/>
      <c r="GKZ37" s="759"/>
      <c r="GLA37" s="759"/>
      <c r="GLB37" s="759"/>
      <c r="GLC37" s="759"/>
      <c r="GLD37" s="759"/>
      <c r="GLE37" s="759"/>
      <c r="GLF37" s="759"/>
      <c r="GLG37" s="759"/>
      <c r="GLH37" s="759"/>
      <c r="GLI37" s="759"/>
      <c r="GLJ37" s="759"/>
      <c r="GLK37" s="759"/>
      <c r="GLL37" s="759"/>
      <c r="GLM37" s="759"/>
      <c r="GLN37" s="759"/>
      <c r="GLO37" s="759"/>
      <c r="GLP37" s="759"/>
      <c r="GLQ37" s="759"/>
      <c r="GLR37" s="759"/>
      <c r="GLS37" s="759"/>
      <c r="GLT37" s="759"/>
      <c r="GLU37" s="759"/>
      <c r="GLV37" s="759"/>
      <c r="GLW37" s="759"/>
      <c r="GLX37" s="759"/>
      <c r="GLY37" s="759"/>
      <c r="GLZ37" s="759"/>
      <c r="GMA37" s="759"/>
      <c r="GMB37" s="759"/>
      <c r="GMC37" s="759"/>
      <c r="GMD37" s="759"/>
      <c r="GME37" s="759"/>
      <c r="GMF37" s="759"/>
      <c r="GMG37" s="759"/>
      <c r="GMH37" s="759"/>
      <c r="GMI37" s="759"/>
      <c r="GMJ37" s="759"/>
      <c r="GMK37" s="759"/>
      <c r="GML37" s="759"/>
      <c r="GMM37" s="759"/>
      <c r="GMN37" s="759"/>
      <c r="GMO37" s="759"/>
      <c r="GMP37" s="759"/>
      <c r="GMQ37" s="759"/>
      <c r="GMR37" s="759"/>
      <c r="GMS37" s="759"/>
      <c r="GMT37" s="759"/>
      <c r="GMU37" s="759"/>
      <c r="GMV37" s="759"/>
      <c r="GMW37" s="759"/>
      <c r="GMX37" s="759"/>
      <c r="GMY37" s="759"/>
      <c r="GMZ37" s="759"/>
      <c r="GNA37" s="759"/>
      <c r="GNB37" s="759"/>
      <c r="GNC37" s="759"/>
      <c r="GND37" s="759"/>
      <c r="GNE37" s="759"/>
      <c r="GNF37" s="759"/>
      <c r="GNG37" s="759"/>
      <c r="GNH37" s="759"/>
      <c r="GNI37" s="759"/>
      <c r="GNJ37" s="759"/>
      <c r="GNK37" s="759"/>
      <c r="GNL37" s="759"/>
      <c r="GNM37" s="759"/>
      <c r="GNN37" s="759"/>
      <c r="GNO37" s="759"/>
      <c r="GNP37" s="759"/>
      <c r="GNQ37" s="759"/>
      <c r="GNR37" s="759"/>
      <c r="GNS37" s="759"/>
      <c r="GNT37" s="759"/>
      <c r="GNU37" s="759"/>
      <c r="GNV37" s="759"/>
      <c r="GNW37" s="759"/>
      <c r="GNX37" s="759"/>
      <c r="GNY37" s="759"/>
      <c r="GNZ37" s="759"/>
      <c r="GOA37" s="759"/>
      <c r="GOB37" s="759"/>
      <c r="GOC37" s="759"/>
      <c r="GOD37" s="759"/>
      <c r="GOE37" s="759"/>
      <c r="GOF37" s="759"/>
      <c r="GOG37" s="759"/>
      <c r="GOH37" s="759"/>
      <c r="GOI37" s="759"/>
      <c r="GOJ37" s="759"/>
      <c r="GOK37" s="759"/>
      <c r="GOL37" s="759"/>
      <c r="GOM37" s="759"/>
      <c r="GON37" s="759"/>
      <c r="GOO37" s="759"/>
      <c r="GOP37" s="759"/>
      <c r="GOQ37" s="759"/>
      <c r="GOR37" s="759"/>
      <c r="GOS37" s="759"/>
      <c r="GOT37" s="759"/>
      <c r="GOU37" s="759"/>
      <c r="GOV37" s="759"/>
      <c r="GOW37" s="759"/>
      <c r="GOX37" s="759"/>
      <c r="GOY37" s="759"/>
      <c r="GOZ37" s="759"/>
      <c r="GPA37" s="759"/>
      <c r="GPB37" s="759"/>
      <c r="GPC37" s="759"/>
      <c r="GPD37" s="759"/>
      <c r="GPE37" s="759"/>
      <c r="GPF37" s="759"/>
      <c r="GPG37" s="759"/>
      <c r="GPH37" s="759"/>
      <c r="GPI37" s="759"/>
      <c r="GPJ37" s="759"/>
      <c r="GPK37" s="759"/>
      <c r="GPL37" s="759"/>
      <c r="GPM37" s="759"/>
      <c r="GPN37" s="759"/>
      <c r="GPO37" s="759"/>
      <c r="GPP37" s="759"/>
      <c r="GPQ37" s="759"/>
      <c r="GPR37" s="759"/>
      <c r="GPS37" s="759"/>
      <c r="GPT37" s="759"/>
      <c r="GPU37" s="759"/>
      <c r="GPV37" s="759"/>
      <c r="GPW37" s="759"/>
      <c r="GPX37" s="759"/>
      <c r="GPY37" s="759"/>
      <c r="GPZ37" s="759"/>
      <c r="GQA37" s="759"/>
      <c r="GQB37" s="759"/>
      <c r="GQC37" s="759"/>
      <c r="GQD37" s="759"/>
      <c r="GQE37" s="759"/>
      <c r="GQF37" s="759"/>
      <c r="GQG37" s="759"/>
      <c r="GQH37" s="759"/>
      <c r="GQI37" s="759"/>
      <c r="GQJ37" s="759"/>
      <c r="GQK37" s="759"/>
      <c r="GQL37" s="759"/>
      <c r="GQM37" s="759"/>
      <c r="GQN37" s="759"/>
      <c r="GQO37" s="759"/>
      <c r="GQP37" s="759"/>
      <c r="GQQ37" s="759"/>
      <c r="GQR37" s="759"/>
      <c r="GQS37" s="759"/>
      <c r="GQT37" s="759"/>
      <c r="GQU37" s="759"/>
      <c r="GQV37" s="759"/>
      <c r="GQW37" s="759"/>
      <c r="GQX37" s="759"/>
      <c r="GQY37" s="759"/>
      <c r="GQZ37" s="759"/>
      <c r="GRA37" s="759"/>
      <c r="GRB37" s="759"/>
      <c r="GRC37" s="759"/>
      <c r="GRD37" s="759"/>
      <c r="GRE37" s="759"/>
      <c r="GRF37" s="759"/>
      <c r="GRG37" s="759"/>
      <c r="GRH37" s="759"/>
      <c r="GRI37" s="759"/>
      <c r="GRJ37" s="759"/>
      <c r="GRK37" s="759"/>
      <c r="GRL37" s="759"/>
      <c r="GRM37" s="759"/>
      <c r="GRN37" s="759"/>
      <c r="GRO37" s="759"/>
      <c r="GRP37" s="759"/>
      <c r="GRQ37" s="759"/>
      <c r="GRR37" s="759"/>
      <c r="GRS37" s="759"/>
      <c r="GRT37" s="759"/>
      <c r="GRU37" s="759"/>
      <c r="GRV37" s="759"/>
      <c r="GRW37" s="759"/>
      <c r="GRX37" s="759"/>
      <c r="GRY37" s="759"/>
      <c r="GRZ37" s="759"/>
      <c r="GSA37" s="759"/>
      <c r="GSB37" s="759"/>
      <c r="GSC37" s="759"/>
      <c r="GSD37" s="759"/>
      <c r="GSE37" s="759"/>
      <c r="GSF37" s="759"/>
      <c r="GSG37" s="759"/>
      <c r="GSH37" s="759"/>
      <c r="GSI37" s="759"/>
      <c r="GSJ37" s="759"/>
      <c r="GSK37" s="759"/>
      <c r="GSL37" s="759"/>
      <c r="GSM37" s="759"/>
      <c r="GSN37" s="759"/>
      <c r="GSO37" s="759"/>
      <c r="GSP37" s="759"/>
      <c r="GSQ37" s="759"/>
      <c r="GSR37" s="759"/>
      <c r="GSS37" s="759"/>
      <c r="GST37" s="759"/>
      <c r="GSU37" s="759"/>
      <c r="GSV37" s="759"/>
      <c r="GSW37" s="759"/>
      <c r="GSX37" s="759"/>
      <c r="GSY37" s="759"/>
      <c r="GSZ37" s="759"/>
      <c r="GTA37" s="759"/>
      <c r="GTB37" s="759"/>
      <c r="GTC37" s="759"/>
      <c r="GTD37" s="759"/>
      <c r="GTE37" s="759"/>
      <c r="GTF37" s="759"/>
      <c r="GTG37" s="759"/>
      <c r="GTH37" s="759"/>
      <c r="GTI37" s="759"/>
      <c r="GTJ37" s="759"/>
      <c r="GTK37" s="759"/>
      <c r="GTL37" s="759"/>
      <c r="GTM37" s="759"/>
      <c r="GTN37" s="759"/>
      <c r="GTO37" s="759"/>
      <c r="GTP37" s="759"/>
      <c r="GTQ37" s="759"/>
      <c r="GTR37" s="759"/>
      <c r="GTS37" s="759"/>
      <c r="GTT37" s="759"/>
      <c r="GTU37" s="759"/>
      <c r="GTV37" s="759"/>
      <c r="GTW37" s="759"/>
      <c r="GTX37" s="759"/>
      <c r="GTY37" s="759"/>
      <c r="GTZ37" s="759"/>
      <c r="GUA37" s="759"/>
      <c r="GUB37" s="759"/>
      <c r="GUC37" s="759"/>
      <c r="GUD37" s="759"/>
      <c r="GUE37" s="759"/>
      <c r="GUF37" s="759"/>
      <c r="GUG37" s="759"/>
      <c r="GUH37" s="759"/>
      <c r="GUI37" s="759"/>
      <c r="GUJ37" s="759"/>
      <c r="GUK37" s="759"/>
      <c r="GUL37" s="759"/>
      <c r="GUM37" s="759"/>
      <c r="GUN37" s="759"/>
      <c r="GUO37" s="759"/>
      <c r="GUP37" s="759"/>
      <c r="GUQ37" s="759"/>
      <c r="GUR37" s="759"/>
      <c r="GUS37" s="759"/>
      <c r="GUT37" s="759"/>
      <c r="GUU37" s="759"/>
      <c r="GUV37" s="759"/>
      <c r="GUW37" s="759"/>
      <c r="GUX37" s="759"/>
      <c r="GUY37" s="759"/>
      <c r="GUZ37" s="759"/>
      <c r="GVA37" s="759"/>
      <c r="GVB37" s="759"/>
      <c r="GVC37" s="759"/>
      <c r="GVD37" s="759"/>
      <c r="GVE37" s="759"/>
      <c r="GVF37" s="759"/>
      <c r="GVG37" s="759"/>
      <c r="GVH37" s="759"/>
      <c r="GVI37" s="759"/>
      <c r="GVJ37" s="759"/>
      <c r="GVK37" s="759"/>
      <c r="GVL37" s="759"/>
      <c r="GVM37" s="759"/>
      <c r="GVN37" s="759"/>
      <c r="GVO37" s="759"/>
      <c r="GVP37" s="759"/>
      <c r="GVQ37" s="759"/>
      <c r="GVR37" s="759"/>
      <c r="GVS37" s="759"/>
      <c r="GVT37" s="759"/>
      <c r="GVU37" s="759"/>
      <c r="GVV37" s="759"/>
      <c r="GVW37" s="759"/>
      <c r="GVX37" s="759"/>
      <c r="GVY37" s="759"/>
      <c r="GVZ37" s="759"/>
      <c r="GWA37" s="759"/>
      <c r="GWB37" s="759"/>
      <c r="GWC37" s="759"/>
      <c r="GWD37" s="759"/>
      <c r="GWE37" s="759"/>
      <c r="GWF37" s="759"/>
      <c r="GWG37" s="759"/>
      <c r="GWH37" s="759"/>
      <c r="GWI37" s="759"/>
      <c r="GWJ37" s="759"/>
      <c r="GWK37" s="759"/>
      <c r="GWL37" s="759"/>
      <c r="GWM37" s="759"/>
      <c r="GWN37" s="759"/>
      <c r="GWO37" s="759"/>
      <c r="GWP37" s="759"/>
      <c r="GWQ37" s="759"/>
      <c r="GWR37" s="759"/>
      <c r="GWS37" s="759"/>
      <c r="GWT37" s="759"/>
      <c r="GWU37" s="759"/>
      <c r="GWV37" s="759"/>
      <c r="GWW37" s="759"/>
      <c r="GWX37" s="759"/>
      <c r="GWY37" s="759"/>
      <c r="GWZ37" s="759"/>
      <c r="GXA37" s="759"/>
      <c r="GXB37" s="759"/>
      <c r="GXC37" s="759"/>
      <c r="GXD37" s="759"/>
      <c r="GXE37" s="759"/>
      <c r="GXF37" s="759"/>
      <c r="GXG37" s="759"/>
      <c r="GXH37" s="759"/>
      <c r="GXI37" s="759"/>
      <c r="GXJ37" s="759"/>
      <c r="GXK37" s="759"/>
      <c r="GXL37" s="759"/>
      <c r="GXM37" s="759"/>
      <c r="GXN37" s="759"/>
      <c r="GXO37" s="759"/>
      <c r="GXP37" s="759"/>
      <c r="GXQ37" s="759"/>
      <c r="GXR37" s="759"/>
      <c r="GXS37" s="759"/>
      <c r="GXT37" s="759"/>
      <c r="GXU37" s="759"/>
      <c r="GXV37" s="759"/>
      <c r="GXW37" s="759"/>
      <c r="GXX37" s="759"/>
      <c r="GXY37" s="759"/>
      <c r="GXZ37" s="759"/>
      <c r="GYA37" s="759"/>
      <c r="GYB37" s="759"/>
      <c r="GYC37" s="759"/>
      <c r="GYD37" s="759"/>
      <c r="GYE37" s="759"/>
      <c r="GYF37" s="759"/>
      <c r="GYG37" s="759"/>
      <c r="GYH37" s="759"/>
      <c r="GYI37" s="759"/>
      <c r="GYJ37" s="759"/>
      <c r="GYK37" s="759"/>
      <c r="GYL37" s="759"/>
      <c r="GYM37" s="759"/>
      <c r="GYN37" s="759"/>
      <c r="GYO37" s="759"/>
      <c r="GYP37" s="759"/>
      <c r="GYQ37" s="759"/>
      <c r="GYR37" s="759"/>
      <c r="GYS37" s="759"/>
      <c r="GYT37" s="759"/>
      <c r="GYU37" s="759"/>
      <c r="GYV37" s="759"/>
      <c r="GYW37" s="759"/>
      <c r="GYX37" s="759"/>
      <c r="GYY37" s="759"/>
      <c r="GYZ37" s="759"/>
      <c r="GZA37" s="759"/>
      <c r="GZB37" s="759"/>
      <c r="GZC37" s="759"/>
      <c r="GZD37" s="759"/>
      <c r="GZE37" s="759"/>
      <c r="GZF37" s="759"/>
      <c r="GZG37" s="759"/>
      <c r="GZH37" s="759"/>
      <c r="GZI37" s="759"/>
      <c r="GZJ37" s="759"/>
      <c r="GZK37" s="759"/>
      <c r="GZL37" s="759"/>
      <c r="GZM37" s="759"/>
      <c r="GZN37" s="759"/>
      <c r="GZO37" s="759"/>
      <c r="GZP37" s="759"/>
      <c r="GZQ37" s="759"/>
      <c r="GZR37" s="759"/>
      <c r="GZS37" s="759"/>
      <c r="GZT37" s="759"/>
      <c r="GZU37" s="759"/>
      <c r="GZV37" s="759"/>
      <c r="GZW37" s="759"/>
      <c r="GZX37" s="759"/>
      <c r="GZY37" s="759"/>
      <c r="GZZ37" s="759"/>
      <c r="HAA37" s="759"/>
      <c r="HAB37" s="759"/>
      <c r="HAC37" s="759"/>
      <c r="HAD37" s="759"/>
      <c r="HAE37" s="759"/>
      <c r="HAF37" s="759"/>
      <c r="HAG37" s="759"/>
      <c r="HAH37" s="759"/>
      <c r="HAI37" s="759"/>
      <c r="HAJ37" s="759"/>
      <c r="HAK37" s="759"/>
      <c r="HAL37" s="759"/>
      <c r="HAM37" s="759"/>
      <c r="HAN37" s="759"/>
      <c r="HAO37" s="759"/>
      <c r="HAP37" s="759"/>
      <c r="HAQ37" s="759"/>
      <c r="HAR37" s="759"/>
      <c r="HAS37" s="759"/>
      <c r="HAT37" s="759"/>
      <c r="HAU37" s="759"/>
      <c r="HAV37" s="759"/>
      <c r="HAW37" s="759"/>
      <c r="HAX37" s="759"/>
      <c r="HAY37" s="759"/>
      <c r="HAZ37" s="759"/>
      <c r="HBA37" s="759"/>
      <c r="HBB37" s="759"/>
      <c r="HBC37" s="759"/>
      <c r="HBD37" s="759"/>
      <c r="HBE37" s="759"/>
      <c r="HBF37" s="759"/>
      <c r="HBG37" s="759"/>
      <c r="HBH37" s="759"/>
      <c r="HBI37" s="759"/>
      <c r="HBJ37" s="759"/>
      <c r="HBK37" s="759"/>
      <c r="HBL37" s="759"/>
      <c r="HBM37" s="759"/>
      <c r="HBN37" s="759"/>
      <c r="HBO37" s="759"/>
      <c r="HBP37" s="759"/>
      <c r="HBQ37" s="759"/>
      <c r="HBR37" s="759"/>
      <c r="HBS37" s="759"/>
      <c r="HBT37" s="759"/>
      <c r="HBU37" s="759"/>
      <c r="HBV37" s="759"/>
      <c r="HBW37" s="759"/>
      <c r="HBX37" s="759"/>
      <c r="HBY37" s="759"/>
      <c r="HBZ37" s="759"/>
      <c r="HCA37" s="759"/>
      <c r="HCB37" s="759"/>
      <c r="HCC37" s="759"/>
      <c r="HCD37" s="759"/>
      <c r="HCE37" s="759"/>
      <c r="HCF37" s="759"/>
      <c r="HCG37" s="759"/>
      <c r="HCH37" s="759"/>
      <c r="HCI37" s="759"/>
      <c r="HCJ37" s="759"/>
      <c r="HCK37" s="759"/>
      <c r="HCL37" s="759"/>
      <c r="HCM37" s="759"/>
      <c r="HCN37" s="759"/>
      <c r="HCO37" s="759"/>
      <c r="HCP37" s="759"/>
      <c r="HCQ37" s="759"/>
      <c r="HCR37" s="759"/>
      <c r="HCS37" s="759"/>
      <c r="HCT37" s="759"/>
      <c r="HCU37" s="759"/>
      <c r="HCV37" s="759"/>
      <c r="HCW37" s="759"/>
      <c r="HCX37" s="759"/>
      <c r="HCY37" s="759"/>
      <c r="HCZ37" s="759"/>
      <c r="HDA37" s="759"/>
      <c r="HDB37" s="759"/>
      <c r="HDC37" s="759"/>
      <c r="HDD37" s="759"/>
      <c r="HDE37" s="759"/>
      <c r="HDF37" s="759"/>
      <c r="HDG37" s="759"/>
      <c r="HDH37" s="759"/>
      <c r="HDI37" s="759"/>
      <c r="HDJ37" s="759"/>
      <c r="HDK37" s="759"/>
      <c r="HDL37" s="759"/>
      <c r="HDM37" s="759"/>
      <c r="HDN37" s="759"/>
      <c r="HDO37" s="759"/>
      <c r="HDP37" s="759"/>
      <c r="HDQ37" s="759"/>
      <c r="HDR37" s="759"/>
      <c r="HDS37" s="759"/>
      <c r="HDT37" s="759"/>
      <c r="HDU37" s="759"/>
      <c r="HDV37" s="759"/>
      <c r="HDW37" s="759"/>
      <c r="HDX37" s="759"/>
      <c r="HDY37" s="759"/>
      <c r="HDZ37" s="759"/>
      <c r="HEA37" s="759"/>
      <c r="HEB37" s="759"/>
      <c r="HEC37" s="759"/>
      <c r="HED37" s="759"/>
      <c r="HEE37" s="759"/>
      <c r="HEF37" s="759"/>
      <c r="HEG37" s="759"/>
      <c r="HEH37" s="759"/>
      <c r="HEI37" s="759"/>
      <c r="HEJ37" s="759"/>
      <c r="HEK37" s="759"/>
      <c r="HEL37" s="759"/>
      <c r="HEM37" s="759"/>
      <c r="HEN37" s="759"/>
      <c r="HEO37" s="759"/>
      <c r="HEP37" s="759"/>
      <c r="HEQ37" s="759"/>
      <c r="HER37" s="759"/>
      <c r="HES37" s="759"/>
      <c r="HET37" s="759"/>
      <c r="HEU37" s="759"/>
      <c r="HEV37" s="759"/>
      <c r="HEW37" s="759"/>
      <c r="HEX37" s="759"/>
      <c r="HEY37" s="759"/>
      <c r="HEZ37" s="759"/>
      <c r="HFA37" s="759"/>
      <c r="HFB37" s="759"/>
      <c r="HFC37" s="759"/>
      <c r="HFD37" s="759"/>
      <c r="HFE37" s="759"/>
      <c r="HFF37" s="759"/>
      <c r="HFG37" s="759"/>
      <c r="HFH37" s="759"/>
      <c r="HFI37" s="759"/>
      <c r="HFJ37" s="759"/>
      <c r="HFK37" s="759"/>
      <c r="HFL37" s="759"/>
      <c r="HFM37" s="759"/>
      <c r="HFN37" s="759"/>
      <c r="HFO37" s="759"/>
      <c r="HFP37" s="759"/>
      <c r="HFQ37" s="759"/>
      <c r="HFR37" s="759"/>
      <c r="HFS37" s="759"/>
      <c r="HFT37" s="759"/>
      <c r="HFU37" s="759"/>
      <c r="HFV37" s="759"/>
      <c r="HFW37" s="759"/>
      <c r="HFX37" s="759"/>
      <c r="HFY37" s="759"/>
      <c r="HFZ37" s="759"/>
      <c r="HGA37" s="759"/>
      <c r="HGB37" s="759"/>
      <c r="HGC37" s="759"/>
      <c r="HGD37" s="759"/>
      <c r="HGE37" s="759"/>
      <c r="HGF37" s="759"/>
      <c r="HGG37" s="759"/>
      <c r="HGH37" s="759"/>
      <c r="HGI37" s="759"/>
      <c r="HGJ37" s="759"/>
      <c r="HGK37" s="759"/>
      <c r="HGL37" s="759"/>
      <c r="HGM37" s="759"/>
      <c r="HGN37" s="759"/>
      <c r="HGO37" s="759"/>
      <c r="HGP37" s="759"/>
      <c r="HGQ37" s="759"/>
      <c r="HGR37" s="759"/>
      <c r="HGS37" s="759"/>
      <c r="HGT37" s="759"/>
      <c r="HGU37" s="759"/>
      <c r="HGV37" s="759"/>
      <c r="HGW37" s="759"/>
      <c r="HGX37" s="759"/>
      <c r="HGY37" s="759"/>
      <c r="HGZ37" s="759"/>
      <c r="HHA37" s="759"/>
      <c r="HHB37" s="759"/>
      <c r="HHC37" s="759"/>
      <c r="HHD37" s="759"/>
      <c r="HHE37" s="759"/>
      <c r="HHF37" s="759"/>
      <c r="HHG37" s="759"/>
      <c r="HHH37" s="759"/>
      <c r="HHI37" s="759"/>
      <c r="HHJ37" s="759"/>
      <c r="HHK37" s="759"/>
      <c r="HHL37" s="759"/>
      <c r="HHM37" s="759"/>
      <c r="HHN37" s="759"/>
      <c r="HHO37" s="759"/>
      <c r="HHP37" s="759"/>
      <c r="HHQ37" s="759"/>
      <c r="HHR37" s="759"/>
      <c r="HHS37" s="759"/>
      <c r="HHT37" s="759"/>
      <c r="HHU37" s="759"/>
      <c r="HHV37" s="759"/>
      <c r="HHW37" s="759"/>
      <c r="HHX37" s="759"/>
      <c r="HHY37" s="759"/>
      <c r="HHZ37" s="759"/>
      <c r="HIA37" s="759"/>
      <c r="HIB37" s="759"/>
      <c r="HIC37" s="759"/>
      <c r="HID37" s="759"/>
      <c r="HIE37" s="759"/>
      <c r="HIF37" s="759"/>
      <c r="HIG37" s="759"/>
      <c r="HIH37" s="759"/>
      <c r="HII37" s="759"/>
      <c r="HIJ37" s="759"/>
      <c r="HIK37" s="759"/>
      <c r="HIL37" s="759"/>
      <c r="HIM37" s="759"/>
      <c r="HIN37" s="759"/>
      <c r="HIO37" s="759"/>
      <c r="HIP37" s="759"/>
      <c r="HIQ37" s="759"/>
      <c r="HIR37" s="759"/>
      <c r="HIS37" s="759"/>
      <c r="HIT37" s="759"/>
      <c r="HIU37" s="759"/>
      <c r="HIV37" s="759"/>
      <c r="HIW37" s="759"/>
      <c r="HIX37" s="759"/>
      <c r="HIY37" s="759"/>
      <c r="HIZ37" s="759"/>
      <c r="HJA37" s="759"/>
      <c r="HJB37" s="759"/>
      <c r="HJC37" s="759"/>
      <c r="HJD37" s="759"/>
      <c r="HJE37" s="759"/>
      <c r="HJF37" s="759"/>
      <c r="HJG37" s="759"/>
      <c r="HJH37" s="759"/>
      <c r="HJI37" s="759"/>
      <c r="HJJ37" s="759"/>
      <c r="HJK37" s="759"/>
      <c r="HJL37" s="759"/>
      <c r="HJM37" s="759"/>
      <c r="HJN37" s="759"/>
      <c r="HJO37" s="759"/>
      <c r="HJP37" s="759"/>
      <c r="HJQ37" s="759"/>
      <c r="HJR37" s="759"/>
      <c r="HJS37" s="759"/>
      <c r="HJT37" s="759"/>
      <c r="HJU37" s="759"/>
      <c r="HJV37" s="759"/>
      <c r="HJW37" s="759"/>
      <c r="HJX37" s="759"/>
      <c r="HJY37" s="759"/>
      <c r="HJZ37" s="759"/>
      <c r="HKA37" s="759"/>
      <c r="HKB37" s="759"/>
      <c r="HKC37" s="759"/>
      <c r="HKD37" s="759"/>
      <c r="HKE37" s="759"/>
      <c r="HKF37" s="759"/>
      <c r="HKG37" s="759"/>
      <c r="HKH37" s="759"/>
      <c r="HKI37" s="759"/>
      <c r="HKJ37" s="759"/>
      <c r="HKK37" s="759"/>
      <c r="HKL37" s="759"/>
      <c r="HKM37" s="759"/>
      <c r="HKN37" s="759"/>
      <c r="HKO37" s="759"/>
      <c r="HKP37" s="759"/>
      <c r="HKQ37" s="759"/>
      <c r="HKR37" s="759"/>
      <c r="HKS37" s="759"/>
      <c r="HKT37" s="759"/>
      <c r="HKU37" s="759"/>
      <c r="HKV37" s="759"/>
      <c r="HKW37" s="759"/>
      <c r="HKX37" s="759"/>
      <c r="HKY37" s="759"/>
      <c r="HKZ37" s="759"/>
      <c r="HLA37" s="759"/>
      <c r="HLB37" s="759"/>
      <c r="HLC37" s="759"/>
      <c r="HLD37" s="759"/>
      <c r="HLE37" s="759"/>
      <c r="HLF37" s="759"/>
      <c r="HLG37" s="759"/>
      <c r="HLH37" s="759"/>
      <c r="HLI37" s="759"/>
      <c r="HLJ37" s="759"/>
      <c r="HLK37" s="759"/>
      <c r="HLL37" s="759"/>
      <c r="HLM37" s="759"/>
      <c r="HLN37" s="759"/>
      <c r="HLO37" s="759"/>
      <c r="HLP37" s="759"/>
      <c r="HLQ37" s="759"/>
      <c r="HLR37" s="759"/>
      <c r="HLS37" s="759"/>
      <c r="HLT37" s="759"/>
      <c r="HLU37" s="759"/>
      <c r="HLV37" s="759"/>
      <c r="HLW37" s="759"/>
      <c r="HLX37" s="759"/>
      <c r="HLY37" s="759"/>
      <c r="HLZ37" s="759"/>
      <c r="HMA37" s="759"/>
      <c r="HMB37" s="759"/>
      <c r="HMC37" s="759"/>
      <c r="HMD37" s="759"/>
      <c r="HME37" s="759"/>
      <c r="HMF37" s="759"/>
      <c r="HMG37" s="759"/>
      <c r="HMH37" s="759"/>
      <c r="HMI37" s="759"/>
      <c r="HMJ37" s="759"/>
      <c r="HMK37" s="759"/>
      <c r="HML37" s="759"/>
      <c r="HMM37" s="759"/>
      <c r="HMN37" s="759"/>
      <c r="HMO37" s="759"/>
      <c r="HMP37" s="759"/>
      <c r="HMQ37" s="759"/>
      <c r="HMR37" s="759"/>
      <c r="HMS37" s="759"/>
      <c r="HMT37" s="759"/>
      <c r="HMU37" s="759"/>
      <c r="HMV37" s="759"/>
      <c r="HMW37" s="759"/>
      <c r="HMX37" s="759"/>
      <c r="HMY37" s="759"/>
      <c r="HMZ37" s="759"/>
      <c r="HNA37" s="759"/>
      <c r="HNB37" s="759"/>
      <c r="HNC37" s="759"/>
      <c r="HND37" s="759"/>
      <c r="HNE37" s="759"/>
      <c r="HNF37" s="759"/>
      <c r="HNG37" s="759"/>
      <c r="HNH37" s="759"/>
      <c r="HNI37" s="759"/>
      <c r="HNJ37" s="759"/>
      <c r="HNK37" s="759"/>
      <c r="HNL37" s="759"/>
      <c r="HNM37" s="759"/>
      <c r="HNN37" s="759"/>
      <c r="HNO37" s="759"/>
      <c r="HNP37" s="759"/>
      <c r="HNQ37" s="759"/>
      <c r="HNR37" s="759"/>
      <c r="HNS37" s="759"/>
      <c r="HNT37" s="759"/>
      <c r="HNU37" s="759"/>
      <c r="HNV37" s="759"/>
      <c r="HNW37" s="759"/>
      <c r="HNX37" s="759"/>
      <c r="HNY37" s="759"/>
      <c r="HNZ37" s="759"/>
      <c r="HOA37" s="759"/>
      <c r="HOB37" s="759"/>
      <c r="HOC37" s="759"/>
      <c r="HOD37" s="759"/>
      <c r="HOE37" s="759"/>
      <c r="HOF37" s="759"/>
      <c r="HOG37" s="759"/>
      <c r="HOH37" s="759"/>
      <c r="HOI37" s="759"/>
      <c r="HOJ37" s="759"/>
      <c r="HOK37" s="759"/>
      <c r="HOL37" s="759"/>
      <c r="HOM37" s="759"/>
      <c r="HON37" s="759"/>
      <c r="HOO37" s="759"/>
      <c r="HOP37" s="759"/>
      <c r="HOQ37" s="759"/>
      <c r="HOR37" s="759"/>
      <c r="HOS37" s="759"/>
      <c r="HOT37" s="759"/>
      <c r="HOU37" s="759"/>
      <c r="HOV37" s="759"/>
      <c r="HOW37" s="759"/>
      <c r="HOX37" s="759"/>
      <c r="HOY37" s="759"/>
      <c r="HOZ37" s="759"/>
      <c r="HPA37" s="759"/>
      <c r="HPB37" s="759"/>
      <c r="HPC37" s="759"/>
      <c r="HPD37" s="759"/>
      <c r="HPE37" s="759"/>
      <c r="HPF37" s="759"/>
      <c r="HPG37" s="759"/>
      <c r="HPH37" s="759"/>
      <c r="HPI37" s="759"/>
      <c r="HPJ37" s="759"/>
      <c r="HPK37" s="759"/>
      <c r="HPL37" s="759"/>
      <c r="HPM37" s="759"/>
      <c r="HPN37" s="759"/>
      <c r="HPO37" s="759"/>
      <c r="HPP37" s="759"/>
      <c r="HPQ37" s="759"/>
      <c r="HPR37" s="759"/>
      <c r="HPS37" s="759"/>
      <c r="HPT37" s="759"/>
      <c r="HPU37" s="759"/>
      <c r="HPV37" s="759"/>
      <c r="HPW37" s="759"/>
      <c r="HPX37" s="759"/>
      <c r="HPY37" s="759"/>
      <c r="HPZ37" s="759"/>
      <c r="HQA37" s="759"/>
      <c r="HQB37" s="759"/>
      <c r="HQC37" s="759"/>
      <c r="HQD37" s="759"/>
      <c r="HQE37" s="759"/>
      <c r="HQF37" s="759"/>
      <c r="HQG37" s="759"/>
      <c r="HQH37" s="759"/>
      <c r="HQI37" s="759"/>
      <c r="HQJ37" s="759"/>
      <c r="HQK37" s="759"/>
      <c r="HQL37" s="759"/>
      <c r="HQM37" s="759"/>
      <c r="HQN37" s="759"/>
      <c r="HQO37" s="759"/>
      <c r="HQP37" s="759"/>
      <c r="HQQ37" s="759"/>
      <c r="HQR37" s="759"/>
      <c r="HQS37" s="759"/>
      <c r="HQT37" s="759"/>
      <c r="HQU37" s="759"/>
      <c r="HQV37" s="759"/>
      <c r="HQW37" s="759"/>
      <c r="HQX37" s="759"/>
      <c r="HQY37" s="759"/>
      <c r="HQZ37" s="759"/>
      <c r="HRA37" s="759"/>
      <c r="HRB37" s="759"/>
      <c r="HRC37" s="759"/>
      <c r="HRD37" s="759"/>
      <c r="HRE37" s="759"/>
      <c r="HRF37" s="759"/>
      <c r="HRG37" s="759"/>
      <c r="HRH37" s="759"/>
      <c r="HRI37" s="759"/>
      <c r="HRJ37" s="759"/>
      <c r="HRK37" s="759"/>
      <c r="HRL37" s="759"/>
      <c r="HRM37" s="759"/>
      <c r="HRN37" s="759"/>
      <c r="HRO37" s="759"/>
      <c r="HRP37" s="759"/>
      <c r="HRQ37" s="759"/>
      <c r="HRR37" s="759"/>
      <c r="HRS37" s="759"/>
      <c r="HRT37" s="759"/>
      <c r="HRU37" s="759"/>
      <c r="HRV37" s="759"/>
      <c r="HRW37" s="759"/>
      <c r="HRX37" s="759"/>
      <c r="HRY37" s="759"/>
      <c r="HRZ37" s="759"/>
      <c r="HSA37" s="759"/>
      <c r="HSB37" s="759"/>
      <c r="HSC37" s="759"/>
      <c r="HSD37" s="759"/>
      <c r="HSE37" s="759"/>
      <c r="HSF37" s="759"/>
      <c r="HSG37" s="759"/>
      <c r="HSH37" s="759"/>
      <c r="HSI37" s="759"/>
      <c r="HSJ37" s="759"/>
      <c r="HSK37" s="759"/>
      <c r="HSL37" s="759"/>
      <c r="HSM37" s="759"/>
      <c r="HSN37" s="759"/>
      <c r="HSO37" s="759"/>
      <c r="HSP37" s="759"/>
      <c r="HSQ37" s="759"/>
      <c r="HSR37" s="759"/>
      <c r="HSS37" s="759"/>
      <c r="HST37" s="759"/>
      <c r="HSU37" s="759"/>
      <c r="HSV37" s="759"/>
      <c r="HSW37" s="759"/>
      <c r="HSX37" s="759"/>
      <c r="HSY37" s="759"/>
      <c r="HSZ37" s="759"/>
      <c r="HTA37" s="759"/>
      <c r="HTB37" s="759"/>
      <c r="HTC37" s="759"/>
      <c r="HTD37" s="759"/>
      <c r="HTE37" s="759"/>
      <c r="HTF37" s="759"/>
      <c r="HTG37" s="759"/>
      <c r="HTH37" s="759"/>
      <c r="HTI37" s="759"/>
      <c r="HTJ37" s="759"/>
      <c r="HTK37" s="759"/>
      <c r="HTL37" s="759"/>
      <c r="HTM37" s="759"/>
      <c r="HTN37" s="759"/>
      <c r="HTO37" s="759"/>
      <c r="HTP37" s="759"/>
      <c r="HTQ37" s="759"/>
      <c r="HTR37" s="759"/>
      <c r="HTS37" s="759"/>
      <c r="HTT37" s="759"/>
      <c r="HTU37" s="759"/>
      <c r="HTV37" s="759"/>
      <c r="HTW37" s="759"/>
      <c r="HTX37" s="759"/>
      <c r="HTY37" s="759"/>
      <c r="HTZ37" s="759"/>
      <c r="HUA37" s="759"/>
      <c r="HUB37" s="759"/>
      <c r="HUC37" s="759"/>
      <c r="HUD37" s="759"/>
      <c r="HUE37" s="759"/>
      <c r="HUF37" s="759"/>
      <c r="HUG37" s="759"/>
      <c r="HUH37" s="759"/>
      <c r="HUI37" s="759"/>
      <c r="HUJ37" s="759"/>
      <c r="HUK37" s="759"/>
      <c r="HUL37" s="759"/>
      <c r="HUM37" s="759"/>
      <c r="HUN37" s="759"/>
      <c r="HUO37" s="759"/>
      <c r="HUP37" s="759"/>
      <c r="HUQ37" s="759"/>
      <c r="HUR37" s="759"/>
      <c r="HUS37" s="759"/>
      <c r="HUT37" s="759"/>
      <c r="HUU37" s="759"/>
      <c r="HUV37" s="759"/>
      <c r="HUW37" s="759"/>
      <c r="HUX37" s="759"/>
      <c r="HUY37" s="759"/>
      <c r="HUZ37" s="759"/>
      <c r="HVA37" s="759"/>
      <c r="HVB37" s="759"/>
      <c r="HVC37" s="759"/>
      <c r="HVD37" s="759"/>
      <c r="HVE37" s="759"/>
      <c r="HVF37" s="759"/>
      <c r="HVG37" s="759"/>
      <c r="HVH37" s="759"/>
      <c r="HVI37" s="759"/>
      <c r="HVJ37" s="759"/>
      <c r="HVK37" s="759"/>
      <c r="HVL37" s="759"/>
      <c r="HVM37" s="759"/>
      <c r="HVN37" s="759"/>
      <c r="HVO37" s="759"/>
      <c r="HVP37" s="759"/>
      <c r="HVQ37" s="759"/>
      <c r="HVR37" s="759"/>
      <c r="HVS37" s="759"/>
      <c r="HVT37" s="759"/>
      <c r="HVU37" s="759"/>
      <c r="HVV37" s="759"/>
      <c r="HVW37" s="759"/>
      <c r="HVX37" s="759"/>
      <c r="HVY37" s="759"/>
      <c r="HVZ37" s="759"/>
      <c r="HWA37" s="759"/>
      <c r="HWB37" s="759"/>
      <c r="HWC37" s="759"/>
      <c r="HWD37" s="759"/>
      <c r="HWE37" s="759"/>
      <c r="HWF37" s="759"/>
      <c r="HWG37" s="759"/>
      <c r="HWH37" s="759"/>
      <c r="HWI37" s="759"/>
      <c r="HWJ37" s="759"/>
      <c r="HWK37" s="759"/>
      <c r="HWL37" s="759"/>
      <c r="HWM37" s="759"/>
      <c r="HWN37" s="759"/>
      <c r="HWO37" s="759"/>
      <c r="HWP37" s="759"/>
      <c r="HWQ37" s="759"/>
      <c r="HWR37" s="759"/>
      <c r="HWS37" s="759"/>
      <c r="HWT37" s="759"/>
      <c r="HWU37" s="759"/>
      <c r="HWV37" s="759"/>
      <c r="HWW37" s="759"/>
      <c r="HWX37" s="759"/>
      <c r="HWY37" s="759"/>
      <c r="HWZ37" s="759"/>
      <c r="HXA37" s="759"/>
      <c r="HXB37" s="759"/>
      <c r="HXC37" s="759"/>
      <c r="HXD37" s="759"/>
      <c r="HXE37" s="759"/>
      <c r="HXF37" s="759"/>
      <c r="HXG37" s="759"/>
      <c r="HXH37" s="759"/>
      <c r="HXI37" s="759"/>
      <c r="HXJ37" s="759"/>
      <c r="HXK37" s="759"/>
      <c r="HXL37" s="759"/>
      <c r="HXM37" s="759"/>
      <c r="HXN37" s="759"/>
      <c r="HXO37" s="759"/>
      <c r="HXP37" s="759"/>
      <c r="HXQ37" s="759"/>
      <c r="HXR37" s="759"/>
      <c r="HXS37" s="759"/>
      <c r="HXT37" s="759"/>
      <c r="HXU37" s="759"/>
      <c r="HXV37" s="759"/>
      <c r="HXW37" s="759"/>
      <c r="HXX37" s="759"/>
      <c r="HXY37" s="759"/>
      <c r="HXZ37" s="759"/>
      <c r="HYA37" s="759"/>
      <c r="HYB37" s="759"/>
      <c r="HYC37" s="759"/>
      <c r="HYD37" s="759"/>
      <c r="HYE37" s="759"/>
      <c r="HYF37" s="759"/>
      <c r="HYG37" s="759"/>
      <c r="HYH37" s="759"/>
      <c r="HYI37" s="759"/>
      <c r="HYJ37" s="759"/>
      <c r="HYK37" s="759"/>
      <c r="HYL37" s="759"/>
      <c r="HYM37" s="759"/>
      <c r="HYN37" s="759"/>
      <c r="HYO37" s="759"/>
      <c r="HYP37" s="759"/>
      <c r="HYQ37" s="759"/>
      <c r="HYR37" s="759"/>
      <c r="HYS37" s="759"/>
      <c r="HYT37" s="759"/>
      <c r="HYU37" s="759"/>
      <c r="HYV37" s="759"/>
      <c r="HYW37" s="759"/>
      <c r="HYX37" s="759"/>
      <c r="HYY37" s="759"/>
      <c r="HYZ37" s="759"/>
      <c r="HZA37" s="759"/>
      <c r="HZB37" s="759"/>
      <c r="HZC37" s="759"/>
      <c r="HZD37" s="759"/>
      <c r="HZE37" s="759"/>
      <c r="HZF37" s="759"/>
      <c r="HZG37" s="759"/>
      <c r="HZH37" s="759"/>
      <c r="HZI37" s="759"/>
      <c r="HZJ37" s="759"/>
      <c r="HZK37" s="759"/>
      <c r="HZL37" s="759"/>
      <c r="HZM37" s="759"/>
      <c r="HZN37" s="759"/>
      <c r="HZO37" s="759"/>
      <c r="HZP37" s="759"/>
      <c r="HZQ37" s="759"/>
      <c r="HZR37" s="759"/>
      <c r="HZS37" s="759"/>
      <c r="HZT37" s="759"/>
      <c r="HZU37" s="759"/>
      <c r="HZV37" s="759"/>
      <c r="HZW37" s="759"/>
      <c r="HZX37" s="759"/>
      <c r="HZY37" s="759"/>
      <c r="HZZ37" s="759"/>
      <c r="IAA37" s="759"/>
      <c r="IAB37" s="759"/>
      <c r="IAC37" s="759"/>
      <c r="IAD37" s="759"/>
      <c r="IAE37" s="759"/>
      <c r="IAF37" s="759"/>
      <c r="IAG37" s="759"/>
      <c r="IAH37" s="759"/>
      <c r="IAI37" s="759"/>
      <c r="IAJ37" s="759"/>
      <c r="IAK37" s="759"/>
      <c r="IAL37" s="759"/>
      <c r="IAM37" s="759"/>
      <c r="IAN37" s="759"/>
      <c r="IAO37" s="759"/>
      <c r="IAP37" s="759"/>
      <c r="IAQ37" s="759"/>
      <c r="IAR37" s="759"/>
      <c r="IAS37" s="759"/>
      <c r="IAT37" s="759"/>
      <c r="IAU37" s="759"/>
      <c r="IAV37" s="759"/>
      <c r="IAW37" s="759"/>
      <c r="IAX37" s="759"/>
      <c r="IAY37" s="759"/>
      <c r="IAZ37" s="759"/>
      <c r="IBA37" s="759"/>
      <c r="IBB37" s="759"/>
      <c r="IBC37" s="759"/>
      <c r="IBD37" s="759"/>
      <c r="IBE37" s="759"/>
      <c r="IBF37" s="759"/>
      <c r="IBG37" s="759"/>
      <c r="IBH37" s="759"/>
      <c r="IBI37" s="759"/>
      <c r="IBJ37" s="759"/>
      <c r="IBK37" s="759"/>
      <c r="IBL37" s="759"/>
      <c r="IBM37" s="759"/>
      <c r="IBN37" s="759"/>
      <c r="IBO37" s="759"/>
      <c r="IBP37" s="759"/>
      <c r="IBQ37" s="759"/>
      <c r="IBR37" s="759"/>
      <c r="IBS37" s="759"/>
      <c r="IBT37" s="759"/>
      <c r="IBU37" s="759"/>
      <c r="IBV37" s="759"/>
      <c r="IBW37" s="759"/>
      <c r="IBX37" s="759"/>
      <c r="IBY37" s="759"/>
      <c r="IBZ37" s="759"/>
      <c r="ICA37" s="759"/>
      <c r="ICB37" s="759"/>
      <c r="ICC37" s="759"/>
      <c r="ICD37" s="759"/>
      <c r="ICE37" s="759"/>
      <c r="ICF37" s="759"/>
      <c r="ICG37" s="759"/>
      <c r="ICH37" s="759"/>
      <c r="ICI37" s="759"/>
      <c r="ICJ37" s="759"/>
      <c r="ICK37" s="759"/>
      <c r="ICL37" s="759"/>
      <c r="ICM37" s="759"/>
      <c r="ICN37" s="759"/>
      <c r="ICO37" s="759"/>
      <c r="ICP37" s="759"/>
      <c r="ICQ37" s="759"/>
      <c r="ICR37" s="759"/>
      <c r="ICS37" s="759"/>
      <c r="ICT37" s="759"/>
      <c r="ICU37" s="759"/>
      <c r="ICV37" s="759"/>
      <c r="ICW37" s="759"/>
      <c r="ICX37" s="759"/>
      <c r="ICY37" s="759"/>
      <c r="ICZ37" s="759"/>
      <c r="IDA37" s="759"/>
      <c r="IDB37" s="759"/>
      <c r="IDC37" s="759"/>
      <c r="IDD37" s="759"/>
      <c r="IDE37" s="759"/>
      <c r="IDF37" s="759"/>
      <c r="IDG37" s="759"/>
      <c r="IDH37" s="759"/>
      <c r="IDI37" s="759"/>
      <c r="IDJ37" s="759"/>
      <c r="IDK37" s="759"/>
      <c r="IDL37" s="759"/>
      <c r="IDM37" s="759"/>
      <c r="IDN37" s="759"/>
      <c r="IDO37" s="759"/>
      <c r="IDP37" s="759"/>
      <c r="IDQ37" s="759"/>
      <c r="IDR37" s="759"/>
      <c r="IDS37" s="759"/>
      <c r="IDT37" s="759"/>
      <c r="IDU37" s="759"/>
      <c r="IDV37" s="759"/>
      <c r="IDW37" s="759"/>
      <c r="IDX37" s="759"/>
      <c r="IDY37" s="759"/>
      <c r="IDZ37" s="759"/>
      <c r="IEA37" s="759"/>
      <c r="IEB37" s="759"/>
      <c r="IEC37" s="759"/>
      <c r="IED37" s="759"/>
      <c r="IEE37" s="759"/>
      <c r="IEF37" s="759"/>
      <c r="IEG37" s="759"/>
      <c r="IEH37" s="759"/>
      <c r="IEI37" s="759"/>
      <c r="IEJ37" s="759"/>
      <c r="IEK37" s="759"/>
      <c r="IEL37" s="759"/>
      <c r="IEM37" s="759"/>
      <c r="IEN37" s="759"/>
      <c r="IEO37" s="759"/>
      <c r="IEP37" s="759"/>
      <c r="IEQ37" s="759"/>
      <c r="IER37" s="759"/>
      <c r="IES37" s="759"/>
      <c r="IET37" s="759"/>
      <c r="IEU37" s="759"/>
      <c r="IEV37" s="759"/>
      <c r="IEW37" s="759"/>
      <c r="IEX37" s="759"/>
      <c r="IEY37" s="759"/>
      <c r="IEZ37" s="759"/>
      <c r="IFA37" s="759"/>
      <c r="IFB37" s="759"/>
      <c r="IFC37" s="759"/>
      <c r="IFD37" s="759"/>
      <c r="IFE37" s="759"/>
      <c r="IFF37" s="759"/>
      <c r="IFG37" s="759"/>
      <c r="IFH37" s="759"/>
      <c r="IFI37" s="759"/>
      <c r="IFJ37" s="759"/>
      <c r="IFK37" s="759"/>
      <c r="IFL37" s="759"/>
      <c r="IFM37" s="759"/>
      <c r="IFN37" s="759"/>
      <c r="IFO37" s="759"/>
      <c r="IFP37" s="759"/>
      <c r="IFQ37" s="759"/>
      <c r="IFR37" s="759"/>
      <c r="IFS37" s="759"/>
      <c r="IFT37" s="759"/>
      <c r="IFU37" s="759"/>
      <c r="IFV37" s="759"/>
      <c r="IFW37" s="759"/>
      <c r="IFX37" s="759"/>
      <c r="IFY37" s="759"/>
      <c r="IFZ37" s="759"/>
      <c r="IGA37" s="759"/>
      <c r="IGB37" s="759"/>
      <c r="IGC37" s="759"/>
      <c r="IGD37" s="759"/>
      <c r="IGE37" s="759"/>
      <c r="IGF37" s="759"/>
      <c r="IGG37" s="759"/>
      <c r="IGH37" s="759"/>
      <c r="IGI37" s="759"/>
      <c r="IGJ37" s="759"/>
      <c r="IGK37" s="759"/>
      <c r="IGL37" s="759"/>
      <c r="IGM37" s="759"/>
      <c r="IGN37" s="759"/>
      <c r="IGO37" s="759"/>
      <c r="IGP37" s="759"/>
      <c r="IGQ37" s="759"/>
      <c r="IGR37" s="759"/>
      <c r="IGS37" s="759"/>
      <c r="IGT37" s="759"/>
      <c r="IGU37" s="759"/>
      <c r="IGV37" s="759"/>
      <c r="IGW37" s="759"/>
      <c r="IGX37" s="759"/>
      <c r="IGY37" s="759"/>
      <c r="IGZ37" s="759"/>
      <c r="IHA37" s="759"/>
      <c r="IHB37" s="759"/>
      <c r="IHC37" s="759"/>
      <c r="IHD37" s="759"/>
      <c r="IHE37" s="759"/>
      <c r="IHF37" s="759"/>
      <c r="IHG37" s="759"/>
      <c r="IHH37" s="759"/>
      <c r="IHI37" s="759"/>
      <c r="IHJ37" s="759"/>
      <c r="IHK37" s="759"/>
      <c r="IHL37" s="759"/>
      <c r="IHM37" s="759"/>
      <c r="IHN37" s="759"/>
      <c r="IHO37" s="759"/>
      <c r="IHP37" s="759"/>
      <c r="IHQ37" s="759"/>
      <c r="IHR37" s="759"/>
      <c r="IHS37" s="759"/>
      <c r="IHT37" s="759"/>
      <c r="IHU37" s="759"/>
      <c r="IHV37" s="759"/>
      <c r="IHW37" s="759"/>
      <c r="IHX37" s="759"/>
      <c r="IHY37" s="759"/>
      <c r="IHZ37" s="759"/>
      <c r="IIA37" s="759"/>
      <c r="IIB37" s="759"/>
      <c r="IIC37" s="759"/>
      <c r="IID37" s="759"/>
      <c r="IIE37" s="759"/>
      <c r="IIF37" s="759"/>
      <c r="IIG37" s="759"/>
      <c r="IIH37" s="759"/>
      <c r="III37" s="759"/>
      <c r="IIJ37" s="759"/>
      <c r="IIK37" s="759"/>
      <c r="IIL37" s="759"/>
      <c r="IIM37" s="759"/>
      <c r="IIN37" s="759"/>
      <c r="IIO37" s="759"/>
      <c r="IIP37" s="759"/>
      <c r="IIQ37" s="759"/>
      <c r="IIR37" s="759"/>
      <c r="IIS37" s="759"/>
      <c r="IIT37" s="759"/>
      <c r="IIU37" s="759"/>
      <c r="IIV37" s="759"/>
      <c r="IIW37" s="759"/>
      <c r="IIX37" s="759"/>
      <c r="IIY37" s="759"/>
      <c r="IIZ37" s="759"/>
      <c r="IJA37" s="759"/>
      <c r="IJB37" s="759"/>
      <c r="IJC37" s="759"/>
      <c r="IJD37" s="759"/>
      <c r="IJE37" s="759"/>
      <c r="IJF37" s="759"/>
      <c r="IJG37" s="759"/>
      <c r="IJH37" s="759"/>
      <c r="IJI37" s="759"/>
      <c r="IJJ37" s="759"/>
      <c r="IJK37" s="759"/>
      <c r="IJL37" s="759"/>
      <c r="IJM37" s="759"/>
      <c r="IJN37" s="759"/>
      <c r="IJO37" s="759"/>
      <c r="IJP37" s="759"/>
      <c r="IJQ37" s="759"/>
      <c r="IJR37" s="759"/>
      <c r="IJS37" s="759"/>
      <c r="IJT37" s="759"/>
      <c r="IJU37" s="759"/>
      <c r="IJV37" s="759"/>
      <c r="IJW37" s="759"/>
      <c r="IJX37" s="759"/>
      <c r="IJY37" s="759"/>
      <c r="IJZ37" s="759"/>
      <c r="IKA37" s="759"/>
      <c r="IKB37" s="759"/>
      <c r="IKC37" s="759"/>
      <c r="IKD37" s="759"/>
      <c r="IKE37" s="759"/>
      <c r="IKF37" s="759"/>
      <c r="IKG37" s="759"/>
      <c r="IKH37" s="759"/>
      <c r="IKI37" s="759"/>
      <c r="IKJ37" s="759"/>
      <c r="IKK37" s="759"/>
      <c r="IKL37" s="759"/>
      <c r="IKM37" s="759"/>
      <c r="IKN37" s="759"/>
      <c r="IKO37" s="759"/>
      <c r="IKP37" s="759"/>
      <c r="IKQ37" s="759"/>
      <c r="IKR37" s="759"/>
      <c r="IKS37" s="759"/>
      <c r="IKT37" s="759"/>
      <c r="IKU37" s="759"/>
      <c r="IKV37" s="759"/>
      <c r="IKW37" s="759"/>
      <c r="IKX37" s="759"/>
      <c r="IKY37" s="759"/>
      <c r="IKZ37" s="759"/>
      <c r="ILA37" s="759"/>
      <c r="ILB37" s="759"/>
      <c r="ILC37" s="759"/>
      <c r="ILD37" s="759"/>
      <c r="ILE37" s="759"/>
      <c r="ILF37" s="759"/>
      <c r="ILG37" s="759"/>
      <c r="ILH37" s="759"/>
      <c r="ILI37" s="759"/>
      <c r="ILJ37" s="759"/>
      <c r="ILK37" s="759"/>
      <c r="ILL37" s="759"/>
      <c r="ILM37" s="759"/>
      <c r="ILN37" s="759"/>
      <c r="ILO37" s="759"/>
      <c r="ILP37" s="759"/>
      <c r="ILQ37" s="759"/>
      <c r="ILR37" s="759"/>
      <c r="ILS37" s="759"/>
      <c r="ILT37" s="759"/>
      <c r="ILU37" s="759"/>
      <c r="ILV37" s="759"/>
      <c r="ILW37" s="759"/>
      <c r="ILX37" s="759"/>
      <c r="ILY37" s="759"/>
      <c r="ILZ37" s="759"/>
      <c r="IMA37" s="759"/>
      <c r="IMB37" s="759"/>
      <c r="IMC37" s="759"/>
      <c r="IMD37" s="759"/>
      <c r="IME37" s="759"/>
      <c r="IMF37" s="759"/>
      <c r="IMG37" s="759"/>
      <c r="IMH37" s="759"/>
      <c r="IMI37" s="759"/>
      <c r="IMJ37" s="759"/>
      <c r="IMK37" s="759"/>
      <c r="IML37" s="759"/>
      <c r="IMM37" s="759"/>
      <c r="IMN37" s="759"/>
      <c r="IMO37" s="759"/>
      <c r="IMP37" s="759"/>
      <c r="IMQ37" s="759"/>
      <c r="IMR37" s="759"/>
      <c r="IMS37" s="759"/>
      <c r="IMT37" s="759"/>
      <c r="IMU37" s="759"/>
      <c r="IMV37" s="759"/>
      <c r="IMW37" s="759"/>
      <c r="IMX37" s="759"/>
      <c r="IMY37" s="759"/>
      <c r="IMZ37" s="759"/>
      <c r="INA37" s="759"/>
      <c r="INB37" s="759"/>
      <c r="INC37" s="759"/>
      <c r="IND37" s="759"/>
      <c r="INE37" s="759"/>
      <c r="INF37" s="759"/>
      <c r="ING37" s="759"/>
      <c r="INH37" s="759"/>
      <c r="INI37" s="759"/>
      <c r="INJ37" s="759"/>
      <c r="INK37" s="759"/>
      <c r="INL37" s="759"/>
      <c r="INM37" s="759"/>
      <c r="INN37" s="759"/>
      <c r="INO37" s="759"/>
      <c r="INP37" s="759"/>
      <c r="INQ37" s="759"/>
      <c r="INR37" s="759"/>
      <c r="INS37" s="759"/>
      <c r="INT37" s="759"/>
      <c r="INU37" s="759"/>
      <c r="INV37" s="759"/>
      <c r="INW37" s="759"/>
      <c r="INX37" s="759"/>
      <c r="INY37" s="759"/>
      <c r="INZ37" s="759"/>
      <c r="IOA37" s="759"/>
      <c r="IOB37" s="759"/>
      <c r="IOC37" s="759"/>
      <c r="IOD37" s="759"/>
      <c r="IOE37" s="759"/>
      <c r="IOF37" s="759"/>
      <c r="IOG37" s="759"/>
      <c r="IOH37" s="759"/>
      <c r="IOI37" s="759"/>
      <c r="IOJ37" s="759"/>
      <c r="IOK37" s="759"/>
      <c r="IOL37" s="759"/>
      <c r="IOM37" s="759"/>
      <c r="ION37" s="759"/>
      <c r="IOO37" s="759"/>
      <c r="IOP37" s="759"/>
      <c r="IOQ37" s="759"/>
      <c r="IOR37" s="759"/>
      <c r="IOS37" s="759"/>
      <c r="IOT37" s="759"/>
      <c r="IOU37" s="759"/>
      <c r="IOV37" s="759"/>
      <c r="IOW37" s="759"/>
      <c r="IOX37" s="759"/>
      <c r="IOY37" s="759"/>
      <c r="IOZ37" s="759"/>
      <c r="IPA37" s="759"/>
      <c r="IPB37" s="759"/>
      <c r="IPC37" s="759"/>
      <c r="IPD37" s="759"/>
      <c r="IPE37" s="759"/>
      <c r="IPF37" s="759"/>
      <c r="IPG37" s="759"/>
      <c r="IPH37" s="759"/>
      <c r="IPI37" s="759"/>
      <c r="IPJ37" s="759"/>
      <c r="IPK37" s="759"/>
      <c r="IPL37" s="759"/>
      <c r="IPM37" s="759"/>
      <c r="IPN37" s="759"/>
      <c r="IPO37" s="759"/>
      <c r="IPP37" s="759"/>
      <c r="IPQ37" s="759"/>
      <c r="IPR37" s="759"/>
      <c r="IPS37" s="759"/>
      <c r="IPT37" s="759"/>
      <c r="IPU37" s="759"/>
      <c r="IPV37" s="759"/>
      <c r="IPW37" s="759"/>
      <c r="IPX37" s="759"/>
      <c r="IPY37" s="759"/>
      <c r="IPZ37" s="759"/>
      <c r="IQA37" s="759"/>
      <c r="IQB37" s="759"/>
      <c r="IQC37" s="759"/>
      <c r="IQD37" s="759"/>
      <c r="IQE37" s="759"/>
      <c r="IQF37" s="759"/>
      <c r="IQG37" s="759"/>
      <c r="IQH37" s="759"/>
      <c r="IQI37" s="759"/>
      <c r="IQJ37" s="759"/>
      <c r="IQK37" s="759"/>
      <c r="IQL37" s="759"/>
      <c r="IQM37" s="759"/>
      <c r="IQN37" s="759"/>
      <c r="IQO37" s="759"/>
      <c r="IQP37" s="759"/>
      <c r="IQQ37" s="759"/>
      <c r="IQR37" s="759"/>
      <c r="IQS37" s="759"/>
      <c r="IQT37" s="759"/>
      <c r="IQU37" s="759"/>
      <c r="IQV37" s="759"/>
      <c r="IQW37" s="759"/>
      <c r="IQX37" s="759"/>
      <c r="IQY37" s="759"/>
      <c r="IQZ37" s="759"/>
      <c r="IRA37" s="759"/>
      <c r="IRB37" s="759"/>
      <c r="IRC37" s="759"/>
      <c r="IRD37" s="759"/>
      <c r="IRE37" s="759"/>
      <c r="IRF37" s="759"/>
      <c r="IRG37" s="759"/>
      <c r="IRH37" s="759"/>
      <c r="IRI37" s="759"/>
      <c r="IRJ37" s="759"/>
      <c r="IRK37" s="759"/>
      <c r="IRL37" s="759"/>
      <c r="IRM37" s="759"/>
      <c r="IRN37" s="759"/>
      <c r="IRO37" s="759"/>
      <c r="IRP37" s="759"/>
      <c r="IRQ37" s="759"/>
      <c r="IRR37" s="759"/>
      <c r="IRS37" s="759"/>
      <c r="IRT37" s="759"/>
      <c r="IRU37" s="759"/>
      <c r="IRV37" s="759"/>
      <c r="IRW37" s="759"/>
      <c r="IRX37" s="759"/>
      <c r="IRY37" s="759"/>
      <c r="IRZ37" s="759"/>
      <c r="ISA37" s="759"/>
      <c r="ISB37" s="759"/>
      <c r="ISC37" s="759"/>
      <c r="ISD37" s="759"/>
      <c r="ISE37" s="759"/>
      <c r="ISF37" s="759"/>
      <c r="ISG37" s="759"/>
      <c r="ISH37" s="759"/>
      <c r="ISI37" s="759"/>
      <c r="ISJ37" s="759"/>
      <c r="ISK37" s="759"/>
      <c r="ISL37" s="759"/>
      <c r="ISM37" s="759"/>
      <c r="ISN37" s="759"/>
      <c r="ISO37" s="759"/>
      <c r="ISP37" s="759"/>
      <c r="ISQ37" s="759"/>
      <c r="ISR37" s="759"/>
      <c r="ISS37" s="759"/>
      <c r="IST37" s="759"/>
      <c r="ISU37" s="759"/>
      <c r="ISV37" s="759"/>
      <c r="ISW37" s="759"/>
      <c r="ISX37" s="759"/>
      <c r="ISY37" s="759"/>
      <c r="ISZ37" s="759"/>
      <c r="ITA37" s="759"/>
      <c r="ITB37" s="759"/>
      <c r="ITC37" s="759"/>
      <c r="ITD37" s="759"/>
      <c r="ITE37" s="759"/>
      <c r="ITF37" s="759"/>
      <c r="ITG37" s="759"/>
      <c r="ITH37" s="759"/>
      <c r="ITI37" s="759"/>
      <c r="ITJ37" s="759"/>
      <c r="ITK37" s="759"/>
      <c r="ITL37" s="759"/>
      <c r="ITM37" s="759"/>
      <c r="ITN37" s="759"/>
      <c r="ITO37" s="759"/>
      <c r="ITP37" s="759"/>
      <c r="ITQ37" s="759"/>
      <c r="ITR37" s="759"/>
      <c r="ITS37" s="759"/>
      <c r="ITT37" s="759"/>
      <c r="ITU37" s="759"/>
      <c r="ITV37" s="759"/>
      <c r="ITW37" s="759"/>
      <c r="ITX37" s="759"/>
      <c r="ITY37" s="759"/>
      <c r="ITZ37" s="759"/>
      <c r="IUA37" s="759"/>
      <c r="IUB37" s="759"/>
      <c r="IUC37" s="759"/>
      <c r="IUD37" s="759"/>
      <c r="IUE37" s="759"/>
      <c r="IUF37" s="759"/>
      <c r="IUG37" s="759"/>
      <c r="IUH37" s="759"/>
      <c r="IUI37" s="759"/>
      <c r="IUJ37" s="759"/>
      <c r="IUK37" s="759"/>
      <c r="IUL37" s="759"/>
      <c r="IUM37" s="759"/>
      <c r="IUN37" s="759"/>
      <c r="IUO37" s="759"/>
      <c r="IUP37" s="759"/>
      <c r="IUQ37" s="759"/>
      <c r="IUR37" s="759"/>
      <c r="IUS37" s="759"/>
      <c r="IUT37" s="759"/>
      <c r="IUU37" s="759"/>
      <c r="IUV37" s="759"/>
      <c r="IUW37" s="759"/>
      <c r="IUX37" s="759"/>
      <c r="IUY37" s="759"/>
      <c r="IUZ37" s="759"/>
      <c r="IVA37" s="759"/>
      <c r="IVB37" s="759"/>
      <c r="IVC37" s="759"/>
      <c r="IVD37" s="759"/>
      <c r="IVE37" s="759"/>
      <c r="IVF37" s="759"/>
      <c r="IVG37" s="759"/>
      <c r="IVH37" s="759"/>
      <c r="IVI37" s="759"/>
      <c r="IVJ37" s="759"/>
      <c r="IVK37" s="759"/>
      <c r="IVL37" s="759"/>
      <c r="IVM37" s="759"/>
      <c r="IVN37" s="759"/>
      <c r="IVO37" s="759"/>
      <c r="IVP37" s="759"/>
      <c r="IVQ37" s="759"/>
      <c r="IVR37" s="759"/>
      <c r="IVS37" s="759"/>
      <c r="IVT37" s="759"/>
      <c r="IVU37" s="759"/>
      <c r="IVV37" s="759"/>
      <c r="IVW37" s="759"/>
      <c r="IVX37" s="759"/>
      <c r="IVY37" s="759"/>
      <c r="IVZ37" s="759"/>
      <c r="IWA37" s="759"/>
      <c r="IWB37" s="759"/>
      <c r="IWC37" s="759"/>
      <c r="IWD37" s="759"/>
      <c r="IWE37" s="759"/>
      <c r="IWF37" s="759"/>
      <c r="IWG37" s="759"/>
      <c r="IWH37" s="759"/>
      <c r="IWI37" s="759"/>
      <c r="IWJ37" s="759"/>
      <c r="IWK37" s="759"/>
      <c r="IWL37" s="759"/>
      <c r="IWM37" s="759"/>
      <c r="IWN37" s="759"/>
      <c r="IWO37" s="759"/>
      <c r="IWP37" s="759"/>
      <c r="IWQ37" s="759"/>
      <c r="IWR37" s="759"/>
      <c r="IWS37" s="759"/>
      <c r="IWT37" s="759"/>
      <c r="IWU37" s="759"/>
      <c r="IWV37" s="759"/>
      <c r="IWW37" s="759"/>
      <c r="IWX37" s="759"/>
      <c r="IWY37" s="759"/>
      <c r="IWZ37" s="759"/>
      <c r="IXA37" s="759"/>
      <c r="IXB37" s="759"/>
      <c r="IXC37" s="759"/>
      <c r="IXD37" s="759"/>
      <c r="IXE37" s="759"/>
      <c r="IXF37" s="759"/>
      <c r="IXG37" s="759"/>
      <c r="IXH37" s="759"/>
      <c r="IXI37" s="759"/>
      <c r="IXJ37" s="759"/>
      <c r="IXK37" s="759"/>
      <c r="IXL37" s="759"/>
      <c r="IXM37" s="759"/>
      <c r="IXN37" s="759"/>
      <c r="IXO37" s="759"/>
      <c r="IXP37" s="759"/>
      <c r="IXQ37" s="759"/>
      <c r="IXR37" s="759"/>
      <c r="IXS37" s="759"/>
      <c r="IXT37" s="759"/>
      <c r="IXU37" s="759"/>
      <c r="IXV37" s="759"/>
      <c r="IXW37" s="759"/>
      <c r="IXX37" s="759"/>
      <c r="IXY37" s="759"/>
      <c r="IXZ37" s="759"/>
      <c r="IYA37" s="759"/>
      <c r="IYB37" s="759"/>
      <c r="IYC37" s="759"/>
      <c r="IYD37" s="759"/>
      <c r="IYE37" s="759"/>
      <c r="IYF37" s="759"/>
      <c r="IYG37" s="759"/>
      <c r="IYH37" s="759"/>
      <c r="IYI37" s="759"/>
      <c r="IYJ37" s="759"/>
      <c r="IYK37" s="759"/>
      <c r="IYL37" s="759"/>
      <c r="IYM37" s="759"/>
      <c r="IYN37" s="759"/>
      <c r="IYO37" s="759"/>
      <c r="IYP37" s="759"/>
      <c r="IYQ37" s="759"/>
      <c r="IYR37" s="759"/>
      <c r="IYS37" s="759"/>
      <c r="IYT37" s="759"/>
      <c r="IYU37" s="759"/>
      <c r="IYV37" s="759"/>
      <c r="IYW37" s="759"/>
      <c r="IYX37" s="759"/>
      <c r="IYY37" s="759"/>
      <c r="IYZ37" s="759"/>
      <c r="IZA37" s="759"/>
      <c r="IZB37" s="759"/>
      <c r="IZC37" s="759"/>
      <c r="IZD37" s="759"/>
      <c r="IZE37" s="759"/>
      <c r="IZF37" s="759"/>
      <c r="IZG37" s="759"/>
      <c r="IZH37" s="759"/>
      <c r="IZI37" s="759"/>
      <c r="IZJ37" s="759"/>
      <c r="IZK37" s="759"/>
      <c r="IZL37" s="759"/>
      <c r="IZM37" s="759"/>
      <c r="IZN37" s="759"/>
      <c r="IZO37" s="759"/>
      <c r="IZP37" s="759"/>
      <c r="IZQ37" s="759"/>
      <c r="IZR37" s="759"/>
      <c r="IZS37" s="759"/>
      <c r="IZT37" s="759"/>
      <c r="IZU37" s="759"/>
      <c r="IZV37" s="759"/>
      <c r="IZW37" s="759"/>
      <c r="IZX37" s="759"/>
      <c r="IZY37" s="759"/>
      <c r="IZZ37" s="759"/>
      <c r="JAA37" s="759"/>
      <c r="JAB37" s="759"/>
      <c r="JAC37" s="759"/>
      <c r="JAD37" s="759"/>
      <c r="JAE37" s="759"/>
      <c r="JAF37" s="759"/>
      <c r="JAG37" s="759"/>
      <c r="JAH37" s="759"/>
      <c r="JAI37" s="759"/>
      <c r="JAJ37" s="759"/>
      <c r="JAK37" s="759"/>
      <c r="JAL37" s="759"/>
      <c r="JAM37" s="759"/>
      <c r="JAN37" s="759"/>
      <c r="JAO37" s="759"/>
      <c r="JAP37" s="759"/>
      <c r="JAQ37" s="759"/>
      <c r="JAR37" s="759"/>
      <c r="JAS37" s="759"/>
      <c r="JAT37" s="759"/>
      <c r="JAU37" s="759"/>
      <c r="JAV37" s="759"/>
      <c r="JAW37" s="759"/>
      <c r="JAX37" s="759"/>
      <c r="JAY37" s="759"/>
      <c r="JAZ37" s="759"/>
      <c r="JBA37" s="759"/>
      <c r="JBB37" s="759"/>
      <c r="JBC37" s="759"/>
      <c r="JBD37" s="759"/>
      <c r="JBE37" s="759"/>
      <c r="JBF37" s="759"/>
      <c r="JBG37" s="759"/>
      <c r="JBH37" s="759"/>
      <c r="JBI37" s="759"/>
      <c r="JBJ37" s="759"/>
      <c r="JBK37" s="759"/>
      <c r="JBL37" s="759"/>
      <c r="JBM37" s="759"/>
      <c r="JBN37" s="759"/>
      <c r="JBO37" s="759"/>
      <c r="JBP37" s="759"/>
      <c r="JBQ37" s="759"/>
      <c r="JBR37" s="759"/>
      <c r="JBS37" s="759"/>
      <c r="JBT37" s="759"/>
      <c r="JBU37" s="759"/>
      <c r="JBV37" s="759"/>
      <c r="JBW37" s="759"/>
      <c r="JBX37" s="759"/>
      <c r="JBY37" s="759"/>
      <c r="JBZ37" s="759"/>
      <c r="JCA37" s="759"/>
      <c r="JCB37" s="759"/>
      <c r="JCC37" s="759"/>
      <c r="JCD37" s="759"/>
      <c r="JCE37" s="759"/>
      <c r="JCF37" s="759"/>
      <c r="JCG37" s="759"/>
      <c r="JCH37" s="759"/>
      <c r="JCI37" s="759"/>
      <c r="JCJ37" s="759"/>
      <c r="JCK37" s="759"/>
      <c r="JCL37" s="759"/>
      <c r="JCM37" s="759"/>
      <c r="JCN37" s="759"/>
      <c r="JCO37" s="759"/>
      <c r="JCP37" s="759"/>
      <c r="JCQ37" s="759"/>
      <c r="JCR37" s="759"/>
      <c r="JCS37" s="759"/>
      <c r="JCT37" s="759"/>
      <c r="JCU37" s="759"/>
      <c r="JCV37" s="759"/>
      <c r="JCW37" s="759"/>
      <c r="JCX37" s="759"/>
      <c r="JCY37" s="759"/>
      <c r="JCZ37" s="759"/>
      <c r="JDA37" s="759"/>
      <c r="JDB37" s="759"/>
      <c r="JDC37" s="759"/>
      <c r="JDD37" s="759"/>
      <c r="JDE37" s="759"/>
      <c r="JDF37" s="759"/>
      <c r="JDG37" s="759"/>
      <c r="JDH37" s="759"/>
      <c r="JDI37" s="759"/>
      <c r="JDJ37" s="759"/>
      <c r="JDK37" s="759"/>
      <c r="JDL37" s="759"/>
      <c r="JDM37" s="759"/>
      <c r="JDN37" s="759"/>
      <c r="JDO37" s="759"/>
      <c r="JDP37" s="759"/>
      <c r="JDQ37" s="759"/>
      <c r="JDR37" s="759"/>
      <c r="JDS37" s="759"/>
      <c r="JDT37" s="759"/>
      <c r="JDU37" s="759"/>
      <c r="JDV37" s="759"/>
      <c r="JDW37" s="759"/>
      <c r="JDX37" s="759"/>
      <c r="JDY37" s="759"/>
      <c r="JDZ37" s="759"/>
      <c r="JEA37" s="759"/>
      <c r="JEB37" s="759"/>
      <c r="JEC37" s="759"/>
      <c r="JED37" s="759"/>
      <c r="JEE37" s="759"/>
      <c r="JEF37" s="759"/>
      <c r="JEG37" s="759"/>
      <c r="JEH37" s="759"/>
      <c r="JEI37" s="759"/>
      <c r="JEJ37" s="759"/>
      <c r="JEK37" s="759"/>
      <c r="JEL37" s="759"/>
      <c r="JEM37" s="759"/>
      <c r="JEN37" s="759"/>
      <c r="JEO37" s="759"/>
      <c r="JEP37" s="759"/>
      <c r="JEQ37" s="759"/>
      <c r="JER37" s="759"/>
      <c r="JES37" s="759"/>
      <c r="JET37" s="759"/>
      <c r="JEU37" s="759"/>
      <c r="JEV37" s="759"/>
      <c r="JEW37" s="759"/>
      <c r="JEX37" s="759"/>
      <c r="JEY37" s="759"/>
      <c r="JEZ37" s="759"/>
      <c r="JFA37" s="759"/>
      <c r="JFB37" s="759"/>
      <c r="JFC37" s="759"/>
      <c r="JFD37" s="759"/>
      <c r="JFE37" s="759"/>
      <c r="JFF37" s="759"/>
      <c r="JFG37" s="759"/>
      <c r="JFH37" s="759"/>
      <c r="JFI37" s="759"/>
      <c r="JFJ37" s="759"/>
      <c r="JFK37" s="759"/>
      <c r="JFL37" s="759"/>
      <c r="JFM37" s="759"/>
      <c r="JFN37" s="759"/>
      <c r="JFO37" s="759"/>
      <c r="JFP37" s="759"/>
      <c r="JFQ37" s="759"/>
      <c r="JFR37" s="759"/>
      <c r="JFS37" s="759"/>
      <c r="JFT37" s="759"/>
      <c r="JFU37" s="759"/>
      <c r="JFV37" s="759"/>
      <c r="JFW37" s="759"/>
      <c r="JFX37" s="759"/>
      <c r="JFY37" s="759"/>
      <c r="JFZ37" s="759"/>
      <c r="JGA37" s="759"/>
      <c r="JGB37" s="759"/>
      <c r="JGC37" s="759"/>
      <c r="JGD37" s="759"/>
      <c r="JGE37" s="759"/>
      <c r="JGF37" s="759"/>
      <c r="JGG37" s="759"/>
      <c r="JGH37" s="759"/>
      <c r="JGI37" s="759"/>
      <c r="JGJ37" s="759"/>
      <c r="JGK37" s="759"/>
      <c r="JGL37" s="759"/>
      <c r="JGM37" s="759"/>
      <c r="JGN37" s="759"/>
      <c r="JGO37" s="759"/>
      <c r="JGP37" s="759"/>
      <c r="JGQ37" s="759"/>
      <c r="JGR37" s="759"/>
      <c r="JGS37" s="759"/>
      <c r="JGT37" s="759"/>
      <c r="JGU37" s="759"/>
      <c r="JGV37" s="759"/>
      <c r="JGW37" s="759"/>
      <c r="JGX37" s="759"/>
      <c r="JGY37" s="759"/>
      <c r="JGZ37" s="759"/>
      <c r="JHA37" s="759"/>
      <c r="JHB37" s="759"/>
      <c r="JHC37" s="759"/>
      <c r="JHD37" s="759"/>
      <c r="JHE37" s="759"/>
      <c r="JHF37" s="759"/>
      <c r="JHG37" s="759"/>
      <c r="JHH37" s="759"/>
      <c r="JHI37" s="759"/>
      <c r="JHJ37" s="759"/>
      <c r="JHK37" s="759"/>
      <c r="JHL37" s="759"/>
      <c r="JHM37" s="759"/>
      <c r="JHN37" s="759"/>
      <c r="JHO37" s="759"/>
      <c r="JHP37" s="759"/>
      <c r="JHQ37" s="759"/>
      <c r="JHR37" s="759"/>
      <c r="JHS37" s="759"/>
      <c r="JHT37" s="759"/>
      <c r="JHU37" s="759"/>
      <c r="JHV37" s="759"/>
      <c r="JHW37" s="759"/>
      <c r="JHX37" s="759"/>
      <c r="JHY37" s="759"/>
      <c r="JHZ37" s="759"/>
      <c r="JIA37" s="759"/>
      <c r="JIB37" s="759"/>
      <c r="JIC37" s="759"/>
      <c r="JID37" s="759"/>
      <c r="JIE37" s="759"/>
      <c r="JIF37" s="759"/>
      <c r="JIG37" s="759"/>
      <c r="JIH37" s="759"/>
      <c r="JII37" s="759"/>
      <c r="JIJ37" s="759"/>
      <c r="JIK37" s="759"/>
      <c r="JIL37" s="759"/>
      <c r="JIM37" s="759"/>
      <c r="JIN37" s="759"/>
      <c r="JIO37" s="759"/>
      <c r="JIP37" s="759"/>
      <c r="JIQ37" s="759"/>
      <c r="JIR37" s="759"/>
      <c r="JIS37" s="759"/>
      <c r="JIT37" s="759"/>
      <c r="JIU37" s="759"/>
      <c r="JIV37" s="759"/>
      <c r="JIW37" s="759"/>
      <c r="JIX37" s="759"/>
      <c r="JIY37" s="759"/>
      <c r="JIZ37" s="759"/>
      <c r="JJA37" s="759"/>
      <c r="JJB37" s="759"/>
      <c r="JJC37" s="759"/>
      <c r="JJD37" s="759"/>
      <c r="JJE37" s="759"/>
      <c r="JJF37" s="759"/>
      <c r="JJG37" s="759"/>
      <c r="JJH37" s="759"/>
      <c r="JJI37" s="759"/>
      <c r="JJJ37" s="759"/>
      <c r="JJK37" s="759"/>
      <c r="JJL37" s="759"/>
      <c r="JJM37" s="759"/>
      <c r="JJN37" s="759"/>
      <c r="JJO37" s="759"/>
      <c r="JJP37" s="759"/>
      <c r="JJQ37" s="759"/>
      <c r="JJR37" s="759"/>
      <c r="JJS37" s="759"/>
      <c r="JJT37" s="759"/>
      <c r="JJU37" s="759"/>
      <c r="JJV37" s="759"/>
      <c r="JJW37" s="759"/>
      <c r="JJX37" s="759"/>
      <c r="JJY37" s="759"/>
      <c r="JJZ37" s="759"/>
      <c r="JKA37" s="759"/>
      <c r="JKB37" s="759"/>
      <c r="JKC37" s="759"/>
      <c r="JKD37" s="759"/>
      <c r="JKE37" s="759"/>
      <c r="JKF37" s="759"/>
      <c r="JKG37" s="759"/>
      <c r="JKH37" s="759"/>
      <c r="JKI37" s="759"/>
      <c r="JKJ37" s="759"/>
      <c r="JKK37" s="759"/>
      <c r="JKL37" s="759"/>
      <c r="JKM37" s="759"/>
      <c r="JKN37" s="759"/>
      <c r="JKO37" s="759"/>
      <c r="JKP37" s="759"/>
      <c r="JKQ37" s="759"/>
      <c r="JKR37" s="759"/>
      <c r="JKS37" s="759"/>
      <c r="JKT37" s="759"/>
      <c r="JKU37" s="759"/>
      <c r="JKV37" s="759"/>
      <c r="JKW37" s="759"/>
      <c r="JKX37" s="759"/>
      <c r="JKY37" s="759"/>
      <c r="JKZ37" s="759"/>
      <c r="JLA37" s="759"/>
      <c r="JLB37" s="759"/>
      <c r="JLC37" s="759"/>
      <c r="JLD37" s="759"/>
      <c r="JLE37" s="759"/>
      <c r="JLF37" s="759"/>
      <c r="JLG37" s="759"/>
      <c r="JLH37" s="759"/>
      <c r="JLI37" s="759"/>
      <c r="JLJ37" s="759"/>
      <c r="JLK37" s="759"/>
      <c r="JLL37" s="759"/>
      <c r="JLM37" s="759"/>
      <c r="JLN37" s="759"/>
      <c r="JLO37" s="759"/>
      <c r="JLP37" s="759"/>
      <c r="JLQ37" s="759"/>
      <c r="JLR37" s="759"/>
      <c r="JLS37" s="759"/>
      <c r="JLT37" s="759"/>
      <c r="JLU37" s="759"/>
      <c r="JLV37" s="759"/>
      <c r="JLW37" s="759"/>
      <c r="JLX37" s="759"/>
      <c r="JLY37" s="759"/>
      <c r="JLZ37" s="759"/>
      <c r="JMA37" s="759"/>
      <c r="JMB37" s="759"/>
      <c r="JMC37" s="759"/>
      <c r="JMD37" s="759"/>
      <c r="JME37" s="759"/>
      <c r="JMF37" s="759"/>
      <c r="JMG37" s="759"/>
      <c r="JMH37" s="759"/>
      <c r="JMI37" s="759"/>
      <c r="JMJ37" s="759"/>
      <c r="JMK37" s="759"/>
      <c r="JML37" s="759"/>
      <c r="JMM37" s="759"/>
      <c r="JMN37" s="759"/>
      <c r="JMO37" s="759"/>
      <c r="JMP37" s="759"/>
      <c r="JMQ37" s="759"/>
      <c r="JMR37" s="759"/>
      <c r="JMS37" s="759"/>
      <c r="JMT37" s="759"/>
      <c r="JMU37" s="759"/>
      <c r="JMV37" s="759"/>
      <c r="JMW37" s="759"/>
      <c r="JMX37" s="759"/>
      <c r="JMY37" s="759"/>
      <c r="JMZ37" s="759"/>
      <c r="JNA37" s="759"/>
      <c r="JNB37" s="759"/>
      <c r="JNC37" s="759"/>
      <c r="JND37" s="759"/>
      <c r="JNE37" s="759"/>
      <c r="JNF37" s="759"/>
      <c r="JNG37" s="759"/>
      <c r="JNH37" s="759"/>
      <c r="JNI37" s="759"/>
      <c r="JNJ37" s="759"/>
      <c r="JNK37" s="759"/>
      <c r="JNL37" s="759"/>
      <c r="JNM37" s="759"/>
      <c r="JNN37" s="759"/>
      <c r="JNO37" s="759"/>
      <c r="JNP37" s="759"/>
      <c r="JNQ37" s="759"/>
      <c r="JNR37" s="759"/>
      <c r="JNS37" s="759"/>
      <c r="JNT37" s="759"/>
      <c r="JNU37" s="759"/>
      <c r="JNV37" s="759"/>
      <c r="JNW37" s="759"/>
      <c r="JNX37" s="759"/>
      <c r="JNY37" s="759"/>
      <c r="JNZ37" s="759"/>
      <c r="JOA37" s="759"/>
      <c r="JOB37" s="759"/>
      <c r="JOC37" s="759"/>
      <c r="JOD37" s="759"/>
      <c r="JOE37" s="759"/>
      <c r="JOF37" s="759"/>
      <c r="JOG37" s="759"/>
      <c r="JOH37" s="759"/>
      <c r="JOI37" s="759"/>
      <c r="JOJ37" s="759"/>
      <c r="JOK37" s="759"/>
      <c r="JOL37" s="759"/>
      <c r="JOM37" s="759"/>
      <c r="JON37" s="759"/>
      <c r="JOO37" s="759"/>
      <c r="JOP37" s="759"/>
      <c r="JOQ37" s="759"/>
      <c r="JOR37" s="759"/>
      <c r="JOS37" s="759"/>
      <c r="JOT37" s="759"/>
      <c r="JOU37" s="759"/>
      <c r="JOV37" s="759"/>
      <c r="JOW37" s="759"/>
      <c r="JOX37" s="759"/>
      <c r="JOY37" s="759"/>
      <c r="JOZ37" s="759"/>
      <c r="JPA37" s="759"/>
      <c r="JPB37" s="759"/>
      <c r="JPC37" s="759"/>
      <c r="JPD37" s="759"/>
      <c r="JPE37" s="759"/>
      <c r="JPF37" s="759"/>
      <c r="JPG37" s="759"/>
      <c r="JPH37" s="759"/>
      <c r="JPI37" s="759"/>
      <c r="JPJ37" s="759"/>
      <c r="JPK37" s="759"/>
      <c r="JPL37" s="759"/>
      <c r="JPM37" s="759"/>
      <c r="JPN37" s="759"/>
      <c r="JPO37" s="759"/>
      <c r="JPP37" s="759"/>
      <c r="JPQ37" s="759"/>
      <c r="JPR37" s="759"/>
      <c r="JPS37" s="759"/>
      <c r="JPT37" s="759"/>
      <c r="JPU37" s="759"/>
      <c r="JPV37" s="759"/>
      <c r="JPW37" s="759"/>
      <c r="JPX37" s="759"/>
      <c r="JPY37" s="759"/>
      <c r="JPZ37" s="759"/>
      <c r="JQA37" s="759"/>
      <c r="JQB37" s="759"/>
      <c r="JQC37" s="759"/>
      <c r="JQD37" s="759"/>
      <c r="JQE37" s="759"/>
      <c r="JQF37" s="759"/>
      <c r="JQG37" s="759"/>
      <c r="JQH37" s="759"/>
      <c r="JQI37" s="759"/>
      <c r="JQJ37" s="759"/>
      <c r="JQK37" s="759"/>
      <c r="JQL37" s="759"/>
      <c r="JQM37" s="759"/>
      <c r="JQN37" s="759"/>
      <c r="JQO37" s="759"/>
      <c r="JQP37" s="759"/>
      <c r="JQQ37" s="759"/>
      <c r="JQR37" s="759"/>
      <c r="JQS37" s="759"/>
      <c r="JQT37" s="759"/>
      <c r="JQU37" s="759"/>
      <c r="JQV37" s="759"/>
      <c r="JQW37" s="759"/>
      <c r="JQX37" s="759"/>
      <c r="JQY37" s="759"/>
      <c r="JQZ37" s="759"/>
      <c r="JRA37" s="759"/>
      <c r="JRB37" s="759"/>
      <c r="JRC37" s="759"/>
      <c r="JRD37" s="759"/>
      <c r="JRE37" s="759"/>
      <c r="JRF37" s="759"/>
      <c r="JRG37" s="759"/>
      <c r="JRH37" s="759"/>
      <c r="JRI37" s="759"/>
      <c r="JRJ37" s="759"/>
      <c r="JRK37" s="759"/>
      <c r="JRL37" s="759"/>
      <c r="JRM37" s="759"/>
      <c r="JRN37" s="759"/>
      <c r="JRO37" s="759"/>
      <c r="JRP37" s="759"/>
      <c r="JRQ37" s="759"/>
      <c r="JRR37" s="759"/>
      <c r="JRS37" s="759"/>
      <c r="JRT37" s="759"/>
      <c r="JRU37" s="759"/>
      <c r="JRV37" s="759"/>
      <c r="JRW37" s="759"/>
      <c r="JRX37" s="759"/>
      <c r="JRY37" s="759"/>
      <c r="JRZ37" s="759"/>
      <c r="JSA37" s="759"/>
      <c r="JSB37" s="759"/>
      <c r="JSC37" s="759"/>
      <c r="JSD37" s="759"/>
      <c r="JSE37" s="759"/>
      <c r="JSF37" s="759"/>
      <c r="JSG37" s="759"/>
      <c r="JSH37" s="759"/>
      <c r="JSI37" s="759"/>
      <c r="JSJ37" s="759"/>
      <c r="JSK37" s="759"/>
      <c r="JSL37" s="759"/>
      <c r="JSM37" s="759"/>
      <c r="JSN37" s="759"/>
      <c r="JSO37" s="759"/>
      <c r="JSP37" s="759"/>
      <c r="JSQ37" s="759"/>
      <c r="JSR37" s="759"/>
      <c r="JSS37" s="759"/>
      <c r="JST37" s="759"/>
      <c r="JSU37" s="759"/>
      <c r="JSV37" s="759"/>
      <c r="JSW37" s="759"/>
      <c r="JSX37" s="759"/>
      <c r="JSY37" s="759"/>
      <c r="JSZ37" s="759"/>
      <c r="JTA37" s="759"/>
      <c r="JTB37" s="759"/>
      <c r="JTC37" s="759"/>
      <c r="JTD37" s="759"/>
      <c r="JTE37" s="759"/>
      <c r="JTF37" s="759"/>
      <c r="JTG37" s="759"/>
      <c r="JTH37" s="759"/>
      <c r="JTI37" s="759"/>
      <c r="JTJ37" s="759"/>
      <c r="JTK37" s="759"/>
      <c r="JTL37" s="759"/>
      <c r="JTM37" s="759"/>
      <c r="JTN37" s="759"/>
      <c r="JTO37" s="759"/>
      <c r="JTP37" s="759"/>
      <c r="JTQ37" s="759"/>
      <c r="JTR37" s="759"/>
      <c r="JTS37" s="759"/>
      <c r="JTT37" s="759"/>
      <c r="JTU37" s="759"/>
      <c r="JTV37" s="759"/>
      <c r="JTW37" s="759"/>
      <c r="JTX37" s="759"/>
      <c r="JTY37" s="759"/>
      <c r="JTZ37" s="759"/>
      <c r="JUA37" s="759"/>
      <c r="JUB37" s="759"/>
      <c r="JUC37" s="759"/>
      <c r="JUD37" s="759"/>
      <c r="JUE37" s="759"/>
      <c r="JUF37" s="759"/>
      <c r="JUG37" s="759"/>
      <c r="JUH37" s="759"/>
      <c r="JUI37" s="759"/>
      <c r="JUJ37" s="759"/>
      <c r="JUK37" s="759"/>
      <c r="JUL37" s="759"/>
      <c r="JUM37" s="759"/>
      <c r="JUN37" s="759"/>
      <c r="JUO37" s="759"/>
      <c r="JUP37" s="759"/>
      <c r="JUQ37" s="759"/>
      <c r="JUR37" s="759"/>
      <c r="JUS37" s="759"/>
      <c r="JUT37" s="759"/>
      <c r="JUU37" s="759"/>
      <c r="JUV37" s="759"/>
      <c r="JUW37" s="759"/>
      <c r="JUX37" s="759"/>
      <c r="JUY37" s="759"/>
      <c r="JUZ37" s="759"/>
      <c r="JVA37" s="759"/>
      <c r="JVB37" s="759"/>
      <c r="JVC37" s="759"/>
      <c r="JVD37" s="759"/>
      <c r="JVE37" s="759"/>
      <c r="JVF37" s="759"/>
      <c r="JVG37" s="759"/>
      <c r="JVH37" s="759"/>
      <c r="JVI37" s="759"/>
      <c r="JVJ37" s="759"/>
      <c r="JVK37" s="759"/>
      <c r="JVL37" s="759"/>
      <c r="JVM37" s="759"/>
      <c r="JVN37" s="759"/>
      <c r="JVO37" s="759"/>
      <c r="JVP37" s="759"/>
      <c r="JVQ37" s="759"/>
      <c r="JVR37" s="759"/>
      <c r="JVS37" s="759"/>
      <c r="JVT37" s="759"/>
      <c r="JVU37" s="759"/>
      <c r="JVV37" s="759"/>
      <c r="JVW37" s="759"/>
      <c r="JVX37" s="759"/>
      <c r="JVY37" s="759"/>
      <c r="JVZ37" s="759"/>
      <c r="JWA37" s="759"/>
      <c r="JWB37" s="759"/>
      <c r="JWC37" s="759"/>
      <c r="JWD37" s="759"/>
      <c r="JWE37" s="759"/>
      <c r="JWF37" s="759"/>
      <c r="JWG37" s="759"/>
      <c r="JWH37" s="759"/>
      <c r="JWI37" s="759"/>
      <c r="JWJ37" s="759"/>
      <c r="JWK37" s="759"/>
      <c r="JWL37" s="759"/>
      <c r="JWM37" s="759"/>
      <c r="JWN37" s="759"/>
      <c r="JWO37" s="759"/>
      <c r="JWP37" s="759"/>
      <c r="JWQ37" s="759"/>
      <c r="JWR37" s="759"/>
      <c r="JWS37" s="759"/>
      <c r="JWT37" s="759"/>
      <c r="JWU37" s="759"/>
      <c r="JWV37" s="759"/>
      <c r="JWW37" s="759"/>
      <c r="JWX37" s="759"/>
      <c r="JWY37" s="759"/>
      <c r="JWZ37" s="759"/>
      <c r="JXA37" s="759"/>
      <c r="JXB37" s="759"/>
      <c r="JXC37" s="759"/>
      <c r="JXD37" s="759"/>
      <c r="JXE37" s="759"/>
      <c r="JXF37" s="759"/>
      <c r="JXG37" s="759"/>
      <c r="JXH37" s="759"/>
      <c r="JXI37" s="759"/>
      <c r="JXJ37" s="759"/>
      <c r="JXK37" s="759"/>
      <c r="JXL37" s="759"/>
      <c r="JXM37" s="759"/>
      <c r="JXN37" s="759"/>
      <c r="JXO37" s="759"/>
      <c r="JXP37" s="759"/>
      <c r="JXQ37" s="759"/>
      <c r="JXR37" s="759"/>
      <c r="JXS37" s="759"/>
      <c r="JXT37" s="759"/>
      <c r="JXU37" s="759"/>
      <c r="JXV37" s="759"/>
      <c r="JXW37" s="759"/>
      <c r="JXX37" s="759"/>
      <c r="JXY37" s="759"/>
      <c r="JXZ37" s="759"/>
      <c r="JYA37" s="759"/>
      <c r="JYB37" s="759"/>
      <c r="JYC37" s="759"/>
      <c r="JYD37" s="759"/>
      <c r="JYE37" s="759"/>
      <c r="JYF37" s="759"/>
      <c r="JYG37" s="759"/>
      <c r="JYH37" s="759"/>
      <c r="JYI37" s="759"/>
      <c r="JYJ37" s="759"/>
      <c r="JYK37" s="759"/>
      <c r="JYL37" s="759"/>
      <c r="JYM37" s="759"/>
      <c r="JYN37" s="759"/>
      <c r="JYO37" s="759"/>
      <c r="JYP37" s="759"/>
      <c r="JYQ37" s="759"/>
      <c r="JYR37" s="759"/>
      <c r="JYS37" s="759"/>
      <c r="JYT37" s="759"/>
      <c r="JYU37" s="759"/>
      <c r="JYV37" s="759"/>
      <c r="JYW37" s="759"/>
      <c r="JYX37" s="759"/>
      <c r="JYY37" s="759"/>
      <c r="JYZ37" s="759"/>
      <c r="JZA37" s="759"/>
      <c r="JZB37" s="759"/>
      <c r="JZC37" s="759"/>
      <c r="JZD37" s="759"/>
      <c r="JZE37" s="759"/>
      <c r="JZF37" s="759"/>
      <c r="JZG37" s="759"/>
      <c r="JZH37" s="759"/>
      <c r="JZI37" s="759"/>
      <c r="JZJ37" s="759"/>
      <c r="JZK37" s="759"/>
      <c r="JZL37" s="759"/>
      <c r="JZM37" s="759"/>
      <c r="JZN37" s="759"/>
      <c r="JZO37" s="759"/>
      <c r="JZP37" s="759"/>
      <c r="JZQ37" s="759"/>
      <c r="JZR37" s="759"/>
      <c r="JZS37" s="759"/>
      <c r="JZT37" s="759"/>
      <c r="JZU37" s="759"/>
      <c r="JZV37" s="759"/>
      <c r="JZW37" s="759"/>
      <c r="JZX37" s="759"/>
      <c r="JZY37" s="759"/>
      <c r="JZZ37" s="759"/>
      <c r="KAA37" s="759"/>
      <c r="KAB37" s="759"/>
      <c r="KAC37" s="759"/>
      <c r="KAD37" s="759"/>
      <c r="KAE37" s="759"/>
      <c r="KAF37" s="759"/>
      <c r="KAG37" s="759"/>
      <c r="KAH37" s="759"/>
      <c r="KAI37" s="759"/>
      <c r="KAJ37" s="759"/>
      <c r="KAK37" s="759"/>
      <c r="KAL37" s="759"/>
      <c r="KAM37" s="759"/>
      <c r="KAN37" s="759"/>
      <c r="KAO37" s="759"/>
      <c r="KAP37" s="759"/>
      <c r="KAQ37" s="759"/>
      <c r="KAR37" s="759"/>
      <c r="KAS37" s="759"/>
      <c r="KAT37" s="759"/>
      <c r="KAU37" s="759"/>
      <c r="KAV37" s="759"/>
      <c r="KAW37" s="759"/>
      <c r="KAX37" s="759"/>
      <c r="KAY37" s="759"/>
      <c r="KAZ37" s="759"/>
      <c r="KBA37" s="759"/>
      <c r="KBB37" s="759"/>
      <c r="KBC37" s="759"/>
      <c r="KBD37" s="759"/>
      <c r="KBE37" s="759"/>
      <c r="KBF37" s="759"/>
      <c r="KBG37" s="759"/>
      <c r="KBH37" s="759"/>
      <c r="KBI37" s="759"/>
      <c r="KBJ37" s="759"/>
      <c r="KBK37" s="759"/>
      <c r="KBL37" s="759"/>
      <c r="KBM37" s="759"/>
      <c r="KBN37" s="759"/>
      <c r="KBO37" s="759"/>
      <c r="KBP37" s="759"/>
      <c r="KBQ37" s="759"/>
      <c r="KBR37" s="759"/>
      <c r="KBS37" s="759"/>
      <c r="KBT37" s="759"/>
      <c r="KBU37" s="759"/>
      <c r="KBV37" s="759"/>
      <c r="KBW37" s="759"/>
      <c r="KBX37" s="759"/>
      <c r="KBY37" s="759"/>
      <c r="KBZ37" s="759"/>
      <c r="KCA37" s="759"/>
      <c r="KCB37" s="759"/>
      <c r="KCC37" s="759"/>
      <c r="KCD37" s="759"/>
      <c r="KCE37" s="759"/>
      <c r="KCF37" s="759"/>
      <c r="KCG37" s="759"/>
      <c r="KCH37" s="759"/>
      <c r="KCI37" s="759"/>
      <c r="KCJ37" s="759"/>
      <c r="KCK37" s="759"/>
      <c r="KCL37" s="759"/>
      <c r="KCM37" s="759"/>
      <c r="KCN37" s="759"/>
      <c r="KCO37" s="759"/>
      <c r="KCP37" s="759"/>
      <c r="KCQ37" s="759"/>
      <c r="KCR37" s="759"/>
      <c r="KCS37" s="759"/>
      <c r="KCT37" s="759"/>
      <c r="KCU37" s="759"/>
      <c r="KCV37" s="759"/>
      <c r="KCW37" s="759"/>
      <c r="KCX37" s="759"/>
      <c r="KCY37" s="759"/>
      <c r="KCZ37" s="759"/>
      <c r="KDA37" s="759"/>
      <c r="KDB37" s="759"/>
      <c r="KDC37" s="759"/>
      <c r="KDD37" s="759"/>
      <c r="KDE37" s="759"/>
      <c r="KDF37" s="759"/>
      <c r="KDG37" s="759"/>
      <c r="KDH37" s="759"/>
      <c r="KDI37" s="759"/>
      <c r="KDJ37" s="759"/>
      <c r="KDK37" s="759"/>
      <c r="KDL37" s="759"/>
      <c r="KDM37" s="759"/>
      <c r="KDN37" s="759"/>
      <c r="KDO37" s="759"/>
      <c r="KDP37" s="759"/>
      <c r="KDQ37" s="759"/>
      <c r="KDR37" s="759"/>
      <c r="KDS37" s="759"/>
      <c r="KDT37" s="759"/>
      <c r="KDU37" s="759"/>
      <c r="KDV37" s="759"/>
      <c r="KDW37" s="759"/>
      <c r="KDX37" s="759"/>
      <c r="KDY37" s="759"/>
      <c r="KDZ37" s="759"/>
      <c r="KEA37" s="759"/>
      <c r="KEB37" s="759"/>
      <c r="KEC37" s="759"/>
      <c r="KED37" s="759"/>
      <c r="KEE37" s="759"/>
      <c r="KEF37" s="759"/>
      <c r="KEG37" s="759"/>
      <c r="KEH37" s="759"/>
      <c r="KEI37" s="759"/>
      <c r="KEJ37" s="759"/>
      <c r="KEK37" s="759"/>
      <c r="KEL37" s="759"/>
      <c r="KEM37" s="759"/>
      <c r="KEN37" s="759"/>
      <c r="KEO37" s="759"/>
      <c r="KEP37" s="759"/>
      <c r="KEQ37" s="759"/>
      <c r="KER37" s="759"/>
      <c r="KES37" s="759"/>
      <c r="KET37" s="759"/>
      <c r="KEU37" s="759"/>
      <c r="KEV37" s="759"/>
      <c r="KEW37" s="759"/>
      <c r="KEX37" s="759"/>
      <c r="KEY37" s="759"/>
      <c r="KEZ37" s="759"/>
      <c r="KFA37" s="759"/>
      <c r="KFB37" s="759"/>
      <c r="KFC37" s="759"/>
      <c r="KFD37" s="759"/>
      <c r="KFE37" s="759"/>
      <c r="KFF37" s="759"/>
      <c r="KFG37" s="759"/>
      <c r="KFH37" s="759"/>
      <c r="KFI37" s="759"/>
      <c r="KFJ37" s="759"/>
      <c r="KFK37" s="759"/>
      <c r="KFL37" s="759"/>
      <c r="KFM37" s="759"/>
      <c r="KFN37" s="759"/>
      <c r="KFO37" s="759"/>
      <c r="KFP37" s="759"/>
      <c r="KFQ37" s="759"/>
      <c r="KFR37" s="759"/>
      <c r="KFS37" s="759"/>
      <c r="KFT37" s="759"/>
      <c r="KFU37" s="759"/>
      <c r="KFV37" s="759"/>
      <c r="KFW37" s="759"/>
      <c r="KFX37" s="759"/>
      <c r="KFY37" s="759"/>
      <c r="KFZ37" s="759"/>
      <c r="KGA37" s="759"/>
      <c r="KGB37" s="759"/>
      <c r="KGC37" s="759"/>
      <c r="KGD37" s="759"/>
      <c r="KGE37" s="759"/>
      <c r="KGF37" s="759"/>
      <c r="KGG37" s="759"/>
      <c r="KGH37" s="759"/>
      <c r="KGI37" s="759"/>
      <c r="KGJ37" s="759"/>
      <c r="KGK37" s="759"/>
      <c r="KGL37" s="759"/>
      <c r="KGM37" s="759"/>
      <c r="KGN37" s="759"/>
      <c r="KGO37" s="759"/>
      <c r="KGP37" s="759"/>
      <c r="KGQ37" s="759"/>
      <c r="KGR37" s="759"/>
      <c r="KGS37" s="759"/>
      <c r="KGT37" s="759"/>
      <c r="KGU37" s="759"/>
      <c r="KGV37" s="759"/>
      <c r="KGW37" s="759"/>
      <c r="KGX37" s="759"/>
      <c r="KGY37" s="759"/>
      <c r="KGZ37" s="759"/>
      <c r="KHA37" s="759"/>
      <c r="KHB37" s="759"/>
      <c r="KHC37" s="759"/>
      <c r="KHD37" s="759"/>
      <c r="KHE37" s="759"/>
      <c r="KHF37" s="759"/>
      <c r="KHG37" s="759"/>
      <c r="KHH37" s="759"/>
      <c r="KHI37" s="759"/>
      <c r="KHJ37" s="759"/>
      <c r="KHK37" s="759"/>
      <c r="KHL37" s="759"/>
      <c r="KHM37" s="759"/>
      <c r="KHN37" s="759"/>
      <c r="KHO37" s="759"/>
      <c r="KHP37" s="759"/>
      <c r="KHQ37" s="759"/>
      <c r="KHR37" s="759"/>
      <c r="KHS37" s="759"/>
      <c r="KHT37" s="759"/>
      <c r="KHU37" s="759"/>
      <c r="KHV37" s="759"/>
      <c r="KHW37" s="759"/>
      <c r="KHX37" s="759"/>
      <c r="KHY37" s="759"/>
      <c r="KHZ37" s="759"/>
      <c r="KIA37" s="759"/>
      <c r="KIB37" s="759"/>
      <c r="KIC37" s="759"/>
      <c r="KID37" s="759"/>
      <c r="KIE37" s="759"/>
      <c r="KIF37" s="759"/>
      <c r="KIG37" s="759"/>
      <c r="KIH37" s="759"/>
      <c r="KII37" s="759"/>
      <c r="KIJ37" s="759"/>
      <c r="KIK37" s="759"/>
      <c r="KIL37" s="759"/>
      <c r="KIM37" s="759"/>
      <c r="KIN37" s="759"/>
      <c r="KIO37" s="759"/>
      <c r="KIP37" s="759"/>
      <c r="KIQ37" s="759"/>
      <c r="KIR37" s="759"/>
      <c r="KIS37" s="759"/>
      <c r="KIT37" s="759"/>
      <c r="KIU37" s="759"/>
      <c r="KIV37" s="759"/>
      <c r="KIW37" s="759"/>
      <c r="KIX37" s="759"/>
      <c r="KIY37" s="759"/>
      <c r="KIZ37" s="759"/>
      <c r="KJA37" s="759"/>
      <c r="KJB37" s="759"/>
      <c r="KJC37" s="759"/>
      <c r="KJD37" s="759"/>
      <c r="KJE37" s="759"/>
      <c r="KJF37" s="759"/>
      <c r="KJG37" s="759"/>
      <c r="KJH37" s="759"/>
      <c r="KJI37" s="759"/>
      <c r="KJJ37" s="759"/>
      <c r="KJK37" s="759"/>
      <c r="KJL37" s="759"/>
      <c r="KJM37" s="759"/>
      <c r="KJN37" s="759"/>
      <c r="KJO37" s="759"/>
      <c r="KJP37" s="759"/>
      <c r="KJQ37" s="759"/>
      <c r="KJR37" s="759"/>
      <c r="KJS37" s="759"/>
      <c r="KJT37" s="759"/>
      <c r="KJU37" s="759"/>
      <c r="KJV37" s="759"/>
      <c r="KJW37" s="759"/>
      <c r="KJX37" s="759"/>
      <c r="KJY37" s="759"/>
      <c r="KJZ37" s="759"/>
      <c r="KKA37" s="759"/>
      <c r="KKB37" s="759"/>
      <c r="KKC37" s="759"/>
      <c r="KKD37" s="759"/>
      <c r="KKE37" s="759"/>
      <c r="KKF37" s="759"/>
      <c r="KKG37" s="759"/>
      <c r="KKH37" s="759"/>
      <c r="KKI37" s="759"/>
      <c r="KKJ37" s="759"/>
      <c r="KKK37" s="759"/>
      <c r="KKL37" s="759"/>
      <c r="KKM37" s="759"/>
      <c r="KKN37" s="759"/>
      <c r="KKO37" s="759"/>
      <c r="KKP37" s="759"/>
      <c r="KKQ37" s="759"/>
      <c r="KKR37" s="759"/>
      <c r="KKS37" s="759"/>
      <c r="KKT37" s="759"/>
      <c r="KKU37" s="759"/>
      <c r="KKV37" s="759"/>
      <c r="KKW37" s="759"/>
      <c r="KKX37" s="759"/>
      <c r="KKY37" s="759"/>
      <c r="KKZ37" s="759"/>
      <c r="KLA37" s="759"/>
      <c r="KLB37" s="759"/>
      <c r="KLC37" s="759"/>
      <c r="KLD37" s="759"/>
      <c r="KLE37" s="759"/>
      <c r="KLF37" s="759"/>
      <c r="KLG37" s="759"/>
      <c r="KLH37" s="759"/>
      <c r="KLI37" s="759"/>
      <c r="KLJ37" s="759"/>
      <c r="KLK37" s="759"/>
      <c r="KLL37" s="759"/>
      <c r="KLM37" s="759"/>
      <c r="KLN37" s="759"/>
      <c r="KLO37" s="759"/>
      <c r="KLP37" s="759"/>
      <c r="KLQ37" s="759"/>
      <c r="KLR37" s="759"/>
      <c r="KLS37" s="759"/>
      <c r="KLT37" s="759"/>
      <c r="KLU37" s="759"/>
      <c r="KLV37" s="759"/>
      <c r="KLW37" s="759"/>
      <c r="KLX37" s="759"/>
      <c r="KLY37" s="759"/>
      <c r="KLZ37" s="759"/>
      <c r="KMA37" s="759"/>
      <c r="KMB37" s="759"/>
      <c r="KMC37" s="759"/>
      <c r="KMD37" s="759"/>
      <c r="KME37" s="759"/>
      <c r="KMF37" s="759"/>
      <c r="KMG37" s="759"/>
      <c r="KMH37" s="759"/>
      <c r="KMI37" s="759"/>
      <c r="KMJ37" s="759"/>
      <c r="KMK37" s="759"/>
      <c r="KML37" s="759"/>
      <c r="KMM37" s="759"/>
      <c r="KMN37" s="759"/>
      <c r="KMO37" s="759"/>
      <c r="KMP37" s="759"/>
      <c r="KMQ37" s="759"/>
      <c r="KMR37" s="759"/>
      <c r="KMS37" s="759"/>
      <c r="KMT37" s="759"/>
      <c r="KMU37" s="759"/>
      <c r="KMV37" s="759"/>
      <c r="KMW37" s="759"/>
      <c r="KMX37" s="759"/>
      <c r="KMY37" s="759"/>
      <c r="KMZ37" s="759"/>
      <c r="KNA37" s="759"/>
      <c r="KNB37" s="759"/>
      <c r="KNC37" s="759"/>
      <c r="KND37" s="759"/>
      <c r="KNE37" s="759"/>
      <c r="KNF37" s="759"/>
      <c r="KNG37" s="759"/>
      <c r="KNH37" s="759"/>
      <c r="KNI37" s="759"/>
      <c r="KNJ37" s="759"/>
      <c r="KNK37" s="759"/>
      <c r="KNL37" s="759"/>
      <c r="KNM37" s="759"/>
      <c r="KNN37" s="759"/>
      <c r="KNO37" s="759"/>
      <c r="KNP37" s="759"/>
      <c r="KNQ37" s="759"/>
      <c r="KNR37" s="759"/>
      <c r="KNS37" s="759"/>
      <c r="KNT37" s="759"/>
      <c r="KNU37" s="759"/>
      <c r="KNV37" s="759"/>
      <c r="KNW37" s="759"/>
      <c r="KNX37" s="759"/>
      <c r="KNY37" s="759"/>
      <c r="KNZ37" s="759"/>
      <c r="KOA37" s="759"/>
      <c r="KOB37" s="759"/>
      <c r="KOC37" s="759"/>
      <c r="KOD37" s="759"/>
      <c r="KOE37" s="759"/>
      <c r="KOF37" s="759"/>
      <c r="KOG37" s="759"/>
      <c r="KOH37" s="759"/>
      <c r="KOI37" s="759"/>
      <c r="KOJ37" s="759"/>
      <c r="KOK37" s="759"/>
      <c r="KOL37" s="759"/>
      <c r="KOM37" s="759"/>
      <c r="KON37" s="759"/>
      <c r="KOO37" s="759"/>
      <c r="KOP37" s="759"/>
      <c r="KOQ37" s="759"/>
      <c r="KOR37" s="759"/>
      <c r="KOS37" s="759"/>
      <c r="KOT37" s="759"/>
      <c r="KOU37" s="759"/>
      <c r="KOV37" s="759"/>
      <c r="KOW37" s="759"/>
      <c r="KOX37" s="759"/>
      <c r="KOY37" s="759"/>
      <c r="KOZ37" s="759"/>
      <c r="KPA37" s="759"/>
      <c r="KPB37" s="759"/>
      <c r="KPC37" s="759"/>
      <c r="KPD37" s="759"/>
      <c r="KPE37" s="759"/>
      <c r="KPF37" s="759"/>
      <c r="KPG37" s="759"/>
      <c r="KPH37" s="759"/>
      <c r="KPI37" s="759"/>
      <c r="KPJ37" s="759"/>
      <c r="KPK37" s="759"/>
      <c r="KPL37" s="759"/>
      <c r="KPM37" s="759"/>
      <c r="KPN37" s="759"/>
      <c r="KPO37" s="759"/>
      <c r="KPP37" s="759"/>
      <c r="KPQ37" s="759"/>
      <c r="KPR37" s="759"/>
      <c r="KPS37" s="759"/>
      <c r="KPT37" s="759"/>
      <c r="KPU37" s="759"/>
      <c r="KPV37" s="759"/>
      <c r="KPW37" s="759"/>
      <c r="KPX37" s="759"/>
      <c r="KPY37" s="759"/>
      <c r="KPZ37" s="759"/>
      <c r="KQA37" s="759"/>
      <c r="KQB37" s="759"/>
      <c r="KQC37" s="759"/>
      <c r="KQD37" s="759"/>
      <c r="KQE37" s="759"/>
      <c r="KQF37" s="759"/>
      <c r="KQG37" s="759"/>
      <c r="KQH37" s="759"/>
      <c r="KQI37" s="759"/>
      <c r="KQJ37" s="759"/>
      <c r="KQK37" s="759"/>
      <c r="KQL37" s="759"/>
      <c r="KQM37" s="759"/>
      <c r="KQN37" s="759"/>
      <c r="KQO37" s="759"/>
      <c r="KQP37" s="759"/>
      <c r="KQQ37" s="759"/>
      <c r="KQR37" s="759"/>
      <c r="KQS37" s="759"/>
      <c r="KQT37" s="759"/>
      <c r="KQU37" s="759"/>
      <c r="KQV37" s="759"/>
      <c r="KQW37" s="759"/>
      <c r="KQX37" s="759"/>
      <c r="KQY37" s="759"/>
      <c r="KQZ37" s="759"/>
      <c r="KRA37" s="759"/>
      <c r="KRB37" s="759"/>
      <c r="KRC37" s="759"/>
      <c r="KRD37" s="759"/>
      <c r="KRE37" s="759"/>
      <c r="KRF37" s="759"/>
      <c r="KRG37" s="759"/>
      <c r="KRH37" s="759"/>
      <c r="KRI37" s="759"/>
      <c r="KRJ37" s="759"/>
      <c r="KRK37" s="759"/>
      <c r="KRL37" s="759"/>
      <c r="KRM37" s="759"/>
      <c r="KRN37" s="759"/>
      <c r="KRO37" s="759"/>
      <c r="KRP37" s="759"/>
      <c r="KRQ37" s="759"/>
      <c r="KRR37" s="759"/>
      <c r="KRS37" s="759"/>
      <c r="KRT37" s="759"/>
      <c r="KRU37" s="759"/>
      <c r="KRV37" s="759"/>
      <c r="KRW37" s="759"/>
      <c r="KRX37" s="759"/>
      <c r="KRY37" s="759"/>
      <c r="KRZ37" s="759"/>
      <c r="KSA37" s="759"/>
      <c r="KSB37" s="759"/>
      <c r="KSC37" s="759"/>
      <c r="KSD37" s="759"/>
      <c r="KSE37" s="759"/>
      <c r="KSF37" s="759"/>
      <c r="KSG37" s="759"/>
      <c r="KSH37" s="759"/>
      <c r="KSI37" s="759"/>
      <c r="KSJ37" s="759"/>
      <c r="KSK37" s="759"/>
      <c r="KSL37" s="759"/>
      <c r="KSM37" s="759"/>
      <c r="KSN37" s="759"/>
      <c r="KSO37" s="759"/>
      <c r="KSP37" s="759"/>
      <c r="KSQ37" s="759"/>
      <c r="KSR37" s="759"/>
      <c r="KSS37" s="759"/>
      <c r="KST37" s="759"/>
      <c r="KSU37" s="759"/>
      <c r="KSV37" s="759"/>
      <c r="KSW37" s="759"/>
      <c r="KSX37" s="759"/>
      <c r="KSY37" s="759"/>
      <c r="KSZ37" s="759"/>
      <c r="KTA37" s="759"/>
      <c r="KTB37" s="759"/>
      <c r="KTC37" s="759"/>
      <c r="KTD37" s="759"/>
      <c r="KTE37" s="759"/>
      <c r="KTF37" s="759"/>
      <c r="KTG37" s="759"/>
      <c r="KTH37" s="759"/>
      <c r="KTI37" s="759"/>
      <c r="KTJ37" s="759"/>
      <c r="KTK37" s="759"/>
      <c r="KTL37" s="759"/>
      <c r="KTM37" s="759"/>
      <c r="KTN37" s="759"/>
      <c r="KTO37" s="759"/>
      <c r="KTP37" s="759"/>
      <c r="KTQ37" s="759"/>
      <c r="KTR37" s="759"/>
      <c r="KTS37" s="759"/>
      <c r="KTT37" s="759"/>
      <c r="KTU37" s="759"/>
      <c r="KTV37" s="759"/>
      <c r="KTW37" s="759"/>
      <c r="KTX37" s="759"/>
      <c r="KTY37" s="759"/>
      <c r="KTZ37" s="759"/>
      <c r="KUA37" s="759"/>
      <c r="KUB37" s="759"/>
      <c r="KUC37" s="759"/>
      <c r="KUD37" s="759"/>
      <c r="KUE37" s="759"/>
      <c r="KUF37" s="759"/>
      <c r="KUG37" s="759"/>
      <c r="KUH37" s="759"/>
      <c r="KUI37" s="759"/>
      <c r="KUJ37" s="759"/>
      <c r="KUK37" s="759"/>
      <c r="KUL37" s="759"/>
      <c r="KUM37" s="759"/>
      <c r="KUN37" s="759"/>
      <c r="KUO37" s="759"/>
      <c r="KUP37" s="759"/>
      <c r="KUQ37" s="759"/>
      <c r="KUR37" s="759"/>
      <c r="KUS37" s="759"/>
      <c r="KUT37" s="759"/>
      <c r="KUU37" s="759"/>
      <c r="KUV37" s="759"/>
      <c r="KUW37" s="759"/>
      <c r="KUX37" s="759"/>
      <c r="KUY37" s="759"/>
      <c r="KUZ37" s="759"/>
      <c r="KVA37" s="759"/>
      <c r="KVB37" s="759"/>
      <c r="KVC37" s="759"/>
      <c r="KVD37" s="759"/>
      <c r="KVE37" s="759"/>
      <c r="KVF37" s="759"/>
      <c r="KVG37" s="759"/>
      <c r="KVH37" s="759"/>
      <c r="KVI37" s="759"/>
      <c r="KVJ37" s="759"/>
      <c r="KVK37" s="759"/>
      <c r="KVL37" s="759"/>
      <c r="KVM37" s="759"/>
      <c r="KVN37" s="759"/>
      <c r="KVO37" s="759"/>
      <c r="KVP37" s="759"/>
      <c r="KVQ37" s="759"/>
      <c r="KVR37" s="759"/>
      <c r="KVS37" s="759"/>
      <c r="KVT37" s="759"/>
      <c r="KVU37" s="759"/>
      <c r="KVV37" s="759"/>
      <c r="KVW37" s="759"/>
      <c r="KVX37" s="759"/>
      <c r="KVY37" s="759"/>
      <c r="KVZ37" s="759"/>
      <c r="KWA37" s="759"/>
      <c r="KWB37" s="759"/>
      <c r="KWC37" s="759"/>
      <c r="KWD37" s="759"/>
      <c r="KWE37" s="759"/>
      <c r="KWF37" s="759"/>
      <c r="KWG37" s="759"/>
      <c r="KWH37" s="759"/>
      <c r="KWI37" s="759"/>
      <c r="KWJ37" s="759"/>
      <c r="KWK37" s="759"/>
      <c r="KWL37" s="759"/>
      <c r="KWM37" s="759"/>
      <c r="KWN37" s="759"/>
      <c r="KWO37" s="759"/>
      <c r="KWP37" s="759"/>
      <c r="KWQ37" s="759"/>
      <c r="KWR37" s="759"/>
      <c r="KWS37" s="759"/>
      <c r="KWT37" s="759"/>
      <c r="KWU37" s="759"/>
      <c r="KWV37" s="759"/>
      <c r="KWW37" s="759"/>
      <c r="KWX37" s="759"/>
      <c r="KWY37" s="759"/>
      <c r="KWZ37" s="759"/>
      <c r="KXA37" s="759"/>
      <c r="KXB37" s="759"/>
      <c r="KXC37" s="759"/>
      <c r="KXD37" s="759"/>
      <c r="KXE37" s="759"/>
      <c r="KXF37" s="759"/>
      <c r="KXG37" s="759"/>
      <c r="KXH37" s="759"/>
      <c r="KXI37" s="759"/>
      <c r="KXJ37" s="759"/>
      <c r="KXK37" s="759"/>
      <c r="KXL37" s="759"/>
      <c r="KXM37" s="759"/>
      <c r="KXN37" s="759"/>
      <c r="KXO37" s="759"/>
      <c r="KXP37" s="759"/>
      <c r="KXQ37" s="759"/>
      <c r="KXR37" s="759"/>
      <c r="KXS37" s="759"/>
      <c r="KXT37" s="759"/>
      <c r="KXU37" s="759"/>
      <c r="KXV37" s="759"/>
      <c r="KXW37" s="759"/>
      <c r="KXX37" s="759"/>
      <c r="KXY37" s="759"/>
      <c r="KXZ37" s="759"/>
      <c r="KYA37" s="759"/>
      <c r="KYB37" s="759"/>
      <c r="KYC37" s="759"/>
      <c r="KYD37" s="759"/>
      <c r="KYE37" s="759"/>
      <c r="KYF37" s="759"/>
      <c r="KYG37" s="759"/>
      <c r="KYH37" s="759"/>
      <c r="KYI37" s="759"/>
      <c r="KYJ37" s="759"/>
      <c r="KYK37" s="759"/>
      <c r="KYL37" s="759"/>
      <c r="KYM37" s="759"/>
      <c r="KYN37" s="759"/>
      <c r="KYO37" s="759"/>
      <c r="KYP37" s="759"/>
      <c r="KYQ37" s="759"/>
      <c r="KYR37" s="759"/>
      <c r="KYS37" s="759"/>
      <c r="KYT37" s="759"/>
      <c r="KYU37" s="759"/>
      <c r="KYV37" s="759"/>
      <c r="KYW37" s="759"/>
      <c r="KYX37" s="759"/>
      <c r="KYY37" s="759"/>
      <c r="KYZ37" s="759"/>
      <c r="KZA37" s="759"/>
      <c r="KZB37" s="759"/>
      <c r="KZC37" s="759"/>
      <c r="KZD37" s="759"/>
      <c r="KZE37" s="759"/>
      <c r="KZF37" s="759"/>
      <c r="KZG37" s="759"/>
      <c r="KZH37" s="759"/>
      <c r="KZI37" s="759"/>
      <c r="KZJ37" s="759"/>
      <c r="KZK37" s="759"/>
      <c r="KZL37" s="759"/>
      <c r="KZM37" s="759"/>
      <c r="KZN37" s="759"/>
      <c r="KZO37" s="759"/>
      <c r="KZP37" s="759"/>
      <c r="KZQ37" s="759"/>
      <c r="KZR37" s="759"/>
      <c r="KZS37" s="759"/>
      <c r="KZT37" s="759"/>
      <c r="KZU37" s="759"/>
      <c r="KZV37" s="759"/>
      <c r="KZW37" s="759"/>
      <c r="KZX37" s="759"/>
      <c r="KZY37" s="759"/>
      <c r="KZZ37" s="759"/>
      <c r="LAA37" s="759"/>
      <c r="LAB37" s="759"/>
      <c r="LAC37" s="759"/>
      <c r="LAD37" s="759"/>
      <c r="LAE37" s="759"/>
      <c r="LAF37" s="759"/>
      <c r="LAG37" s="759"/>
      <c r="LAH37" s="759"/>
      <c r="LAI37" s="759"/>
      <c r="LAJ37" s="759"/>
      <c r="LAK37" s="759"/>
      <c r="LAL37" s="759"/>
      <c r="LAM37" s="759"/>
      <c r="LAN37" s="759"/>
      <c r="LAO37" s="759"/>
      <c r="LAP37" s="759"/>
      <c r="LAQ37" s="759"/>
      <c r="LAR37" s="759"/>
      <c r="LAS37" s="759"/>
      <c r="LAT37" s="759"/>
      <c r="LAU37" s="759"/>
      <c r="LAV37" s="759"/>
      <c r="LAW37" s="759"/>
      <c r="LAX37" s="759"/>
      <c r="LAY37" s="759"/>
      <c r="LAZ37" s="759"/>
      <c r="LBA37" s="759"/>
      <c r="LBB37" s="759"/>
      <c r="LBC37" s="759"/>
      <c r="LBD37" s="759"/>
      <c r="LBE37" s="759"/>
      <c r="LBF37" s="759"/>
      <c r="LBG37" s="759"/>
      <c r="LBH37" s="759"/>
      <c r="LBI37" s="759"/>
      <c r="LBJ37" s="759"/>
      <c r="LBK37" s="759"/>
      <c r="LBL37" s="759"/>
      <c r="LBM37" s="759"/>
      <c r="LBN37" s="759"/>
      <c r="LBO37" s="759"/>
      <c r="LBP37" s="759"/>
      <c r="LBQ37" s="759"/>
      <c r="LBR37" s="759"/>
      <c r="LBS37" s="759"/>
      <c r="LBT37" s="759"/>
      <c r="LBU37" s="759"/>
      <c r="LBV37" s="759"/>
      <c r="LBW37" s="759"/>
      <c r="LBX37" s="759"/>
      <c r="LBY37" s="759"/>
      <c r="LBZ37" s="759"/>
      <c r="LCA37" s="759"/>
      <c r="LCB37" s="759"/>
      <c r="LCC37" s="759"/>
      <c r="LCD37" s="759"/>
      <c r="LCE37" s="759"/>
      <c r="LCF37" s="759"/>
      <c r="LCG37" s="759"/>
      <c r="LCH37" s="759"/>
      <c r="LCI37" s="759"/>
      <c r="LCJ37" s="759"/>
      <c r="LCK37" s="759"/>
      <c r="LCL37" s="759"/>
      <c r="LCM37" s="759"/>
      <c r="LCN37" s="759"/>
      <c r="LCO37" s="759"/>
      <c r="LCP37" s="759"/>
      <c r="LCQ37" s="759"/>
      <c r="LCR37" s="759"/>
      <c r="LCS37" s="759"/>
      <c r="LCT37" s="759"/>
      <c r="LCU37" s="759"/>
      <c r="LCV37" s="759"/>
      <c r="LCW37" s="759"/>
      <c r="LCX37" s="759"/>
      <c r="LCY37" s="759"/>
      <c r="LCZ37" s="759"/>
      <c r="LDA37" s="759"/>
      <c r="LDB37" s="759"/>
      <c r="LDC37" s="759"/>
      <c r="LDD37" s="759"/>
      <c r="LDE37" s="759"/>
      <c r="LDF37" s="759"/>
      <c r="LDG37" s="759"/>
      <c r="LDH37" s="759"/>
      <c r="LDI37" s="759"/>
      <c r="LDJ37" s="759"/>
      <c r="LDK37" s="759"/>
      <c r="LDL37" s="759"/>
      <c r="LDM37" s="759"/>
      <c r="LDN37" s="759"/>
      <c r="LDO37" s="759"/>
      <c r="LDP37" s="759"/>
      <c r="LDQ37" s="759"/>
      <c r="LDR37" s="759"/>
      <c r="LDS37" s="759"/>
      <c r="LDT37" s="759"/>
      <c r="LDU37" s="759"/>
      <c r="LDV37" s="759"/>
      <c r="LDW37" s="759"/>
      <c r="LDX37" s="759"/>
      <c r="LDY37" s="759"/>
      <c r="LDZ37" s="759"/>
      <c r="LEA37" s="759"/>
      <c r="LEB37" s="759"/>
      <c r="LEC37" s="759"/>
      <c r="LED37" s="759"/>
      <c r="LEE37" s="759"/>
      <c r="LEF37" s="759"/>
      <c r="LEG37" s="759"/>
      <c r="LEH37" s="759"/>
      <c r="LEI37" s="759"/>
      <c r="LEJ37" s="759"/>
      <c r="LEK37" s="759"/>
      <c r="LEL37" s="759"/>
      <c r="LEM37" s="759"/>
      <c r="LEN37" s="759"/>
      <c r="LEO37" s="759"/>
      <c r="LEP37" s="759"/>
      <c r="LEQ37" s="759"/>
      <c r="LER37" s="759"/>
      <c r="LES37" s="759"/>
      <c r="LET37" s="759"/>
      <c r="LEU37" s="759"/>
      <c r="LEV37" s="759"/>
      <c r="LEW37" s="759"/>
      <c r="LEX37" s="759"/>
      <c r="LEY37" s="759"/>
      <c r="LEZ37" s="759"/>
      <c r="LFA37" s="759"/>
      <c r="LFB37" s="759"/>
      <c r="LFC37" s="759"/>
      <c r="LFD37" s="759"/>
      <c r="LFE37" s="759"/>
      <c r="LFF37" s="759"/>
      <c r="LFG37" s="759"/>
      <c r="LFH37" s="759"/>
      <c r="LFI37" s="759"/>
      <c r="LFJ37" s="759"/>
      <c r="LFK37" s="759"/>
      <c r="LFL37" s="759"/>
      <c r="LFM37" s="759"/>
      <c r="LFN37" s="759"/>
      <c r="LFO37" s="759"/>
      <c r="LFP37" s="759"/>
      <c r="LFQ37" s="759"/>
      <c r="LFR37" s="759"/>
      <c r="LFS37" s="759"/>
      <c r="LFT37" s="759"/>
      <c r="LFU37" s="759"/>
      <c r="LFV37" s="759"/>
      <c r="LFW37" s="759"/>
      <c r="LFX37" s="759"/>
      <c r="LFY37" s="759"/>
      <c r="LFZ37" s="759"/>
      <c r="LGA37" s="759"/>
      <c r="LGB37" s="759"/>
      <c r="LGC37" s="759"/>
      <c r="LGD37" s="759"/>
      <c r="LGE37" s="759"/>
      <c r="LGF37" s="759"/>
      <c r="LGG37" s="759"/>
      <c r="LGH37" s="759"/>
      <c r="LGI37" s="759"/>
      <c r="LGJ37" s="759"/>
      <c r="LGK37" s="759"/>
      <c r="LGL37" s="759"/>
      <c r="LGM37" s="759"/>
      <c r="LGN37" s="759"/>
      <c r="LGO37" s="759"/>
      <c r="LGP37" s="759"/>
      <c r="LGQ37" s="759"/>
      <c r="LGR37" s="759"/>
      <c r="LGS37" s="759"/>
      <c r="LGT37" s="759"/>
      <c r="LGU37" s="759"/>
      <c r="LGV37" s="759"/>
      <c r="LGW37" s="759"/>
      <c r="LGX37" s="759"/>
      <c r="LGY37" s="759"/>
      <c r="LGZ37" s="759"/>
      <c r="LHA37" s="759"/>
      <c r="LHB37" s="759"/>
      <c r="LHC37" s="759"/>
      <c r="LHD37" s="759"/>
      <c r="LHE37" s="759"/>
      <c r="LHF37" s="759"/>
      <c r="LHG37" s="759"/>
      <c r="LHH37" s="759"/>
      <c r="LHI37" s="759"/>
      <c r="LHJ37" s="759"/>
      <c r="LHK37" s="759"/>
      <c r="LHL37" s="759"/>
      <c r="LHM37" s="759"/>
      <c r="LHN37" s="759"/>
      <c r="LHO37" s="759"/>
      <c r="LHP37" s="759"/>
      <c r="LHQ37" s="759"/>
      <c r="LHR37" s="759"/>
      <c r="LHS37" s="759"/>
      <c r="LHT37" s="759"/>
      <c r="LHU37" s="759"/>
      <c r="LHV37" s="759"/>
      <c r="LHW37" s="759"/>
      <c r="LHX37" s="759"/>
      <c r="LHY37" s="759"/>
      <c r="LHZ37" s="759"/>
      <c r="LIA37" s="759"/>
      <c r="LIB37" s="759"/>
      <c r="LIC37" s="759"/>
      <c r="LID37" s="759"/>
      <c r="LIE37" s="759"/>
      <c r="LIF37" s="759"/>
      <c r="LIG37" s="759"/>
      <c r="LIH37" s="759"/>
      <c r="LII37" s="759"/>
      <c r="LIJ37" s="759"/>
      <c r="LIK37" s="759"/>
      <c r="LIL37" s="759"/>
      <c r="LIM37" s="759"/>
      <c r="LIN37" s="759"/>
      <c r="LIO37" s="759"/>
      <c r="LIP37" s="759"/>
      <c r="LIQ37" s="759"/>
      <c r="LIR37" s="759"/>
      <c r="LIS37" s="759"/>
      <c r="LIT37" s="759"/>
      <c r="LIU37" s="759"/>
      <c r="LIV37" s="759"/>
      <c r="LIW37" s="759"/>
      <c r="LIX37" s="759"/>
      <c r="LIY37" s="759"/>
      <c r="LIZ37" s="759"/>
      <c r="LJA37" s="759"/>
      <c r="LJB37" s="759"/>
      <c r="LJC37" s="759"/>
      <c r="LJD37" s="759"/>
      <c r="LJE37" s="759"/>
      <c r="LJF37" s="759"/>
      <c r="LJG37" s="759"/>
      <c r="LJH37" s="759"/>
      <c r="LJI37" s="759"/>
      <c r="LJJ37" s="759"/>
      <c r="LJK37" s="759"/>
      <c r="LJL37" s="759"/>
      <c r="LJM37" s="759"/>
      <c r="LJN37" s="759"/>
      <c r="LJO37" s="759"/>
      <c r="LJP37" s="759"/>
      <c r="LJQ37" s="759"/>
      <c r="LJR37" s="759"/>
      <c r="LJS37" s="759"/>
      <c r="LJT37" s="759"/>
      <c r="LJU37" s="759"/>
      <c r="LJV37" s="759"/>
      <c r="LJW37" s="759"/>
      <c r="LJX37" s="759"/>
      <c r="LJY37" s="759"/>
      <c r="LJZ37" s="759"/>
      <c r="LKA37" s="759"/>
      <c r="LKB37" s="759"/>
      <c r="LKC37" s="759"/>
      <c r="LKD37" s="759"/>
      <c r="LKE37" s="759"/>
      <c r="LKF37" s="759"/>
      <c r="LKG37" s="759"/>
      <c r="LKH37" s="759"/>
      <c r="LKI37" s="759"/>
      <c r="LKJ37" s="759"/>
      <c r="LKK37" s="759"/>
      <c r="LKL37" s="759"/>
      <c r="LKM37" s="759"/>
      <c r="LKN37" s="759"/>
      <c r="LKO37" s="759"/>
      <c r="LKP37" s="759"/>
      <c r="LKQ37" s="759"/>
      <c r="LKR37" s="759"/>
      <c r="LKS37" s="759"/>
      <c r="LKT37" s="759"/>
      <c r="LKU37" s="759"/>
      <c r="LKV37" s="759"/>
      <c r="LKW37" s="759"/>
      <c r="LKX37" s="759"/>
      <c r="LKY37" s="759"/>
      <c r="LKZ37" s="759"/>
      <c r="LLA37" s="759"/>
      <c r="LLB37" s="759"/>
      <c r="LLC37" s="759"/>
      <c r="LLD37" s="759"/>
      <c r="LLE37" s="759"/>
      <c r="LLF37" s="759"/>
      <c r="LLG37" s="759"/>
      <c r="LLH37" s="759"/>
      <c r="LLI37" s="759"/>
      <c r="LLJ37" s="759"/>
      <c r="LLK37" s="759"/>
      <c r="LLL37" s="759"/>
      <c r="LLM37" s="759"/>
      <c r="LLN37" s="759"/>
      <c r="LLO37" s="759"/>
      <c r="LLP37" s="759"/>
      <c r="LLQ37" s="759"/>
      <c r="LLR37" s="759"/>
      <c r="LLS37" s="759"/>
      <c r="LLT37" s="759"/>
      <c r="LLU37" s="759"/>
      <c r="LLV37" s="759"/>
      <c r="LLW37" s="759"/>
      <c r="LLX37" s="759"/>
      <c r="LLY37" s="759"/>
      <c r="LLZ37" s="759"/>
      <c r="LMA37" s="759"/>
      <c r="LMB37" s="759"/>
      <c r="LMC37" s="759"/>
      <c r="LMD37" s="759"/>
      <c r="LME37" s="759"/>
      <c r="LMF37" s="759"/>
      <c r="LMG37" s="759"/>
      <c r="LMH37" s="759"/>
      <c r="LMI37" s="759"/>
      <c r="LMJ37" s="759"/>
      <c r="LMK37" s="759"/>
      <c r="LML37" s="759"/>
      <c r="LMM37" s="759"/>
      <c r="LMN37" s="759"/>
      <c r="LMO37" s="759"/>
      <c r="LMP37" s="759"/>
      <c r="LMQ37" s="759"/>
      <c r="LMR37" s="759"/>
      <c r="LMS37" s="759"/>
      <c r="LMT37" s="759"/>
      <c r="LMU37" s="759"/>
      <c r="LMV37" s="759"/>
      <c r="LMW37" s="759"/>
      <c r="LMX37" s="759"/>
      <c r="LMY37" s="759"/>
      <c r="LMZ37" s="759"/>
      <c r="LNA37" s="759"/>
      <c r="LNB37" s="759"/>
      <c r="LNC37" s="759"/>
      <c r="LND37" s="759"/>
      <c r="LNE37" s="759"/>
      <c r="LNF37" s="759"/>
      <c r="LNG37" s="759"/>
      <c r="LNH37" s="759"/>
      <c r="LNI37" s="759"/>
      <c r="LNJ37" s="759"/>
      <c r="LNK37" s="759"/>
      <c r="LNL37" s="759"/>
      <c r="LNM37" s="759"/>
      <c r="LNN37" s="759"/>
      <c r="LNO37" s="759"/>
      <c r="LNP37" s="759"/>
      <c r="LNQ37" s="759"/>
      <c r="LNR37" s="759"/>
      <c r="LNS37" s="759"/>
      <c r="LNT37" s="759"/>
      <c r="LNU37" s="759"/>
      <c r="LNV37" s="759"/>
      <c r="LNW37" s="759"/>
      <c r="LNX37" s="759"/>
      <c r="LNY37" s="759"/>
      <c r="LNZ37" s="759"/>
      <c r="LOA37" s="759"/>
      <c r="LOB37" s="759"/>
      <c r="LOC37" s="759"/>
      <c r="LOD37" s="759"/>
      <c r="LOE37" s="759"/>
      <c r="LOF37" s="759"/>
      <c r="LOG37" s="759"/>
      <c r="LOH37" s="759"/>
      <c r="LOI37" s="759"/>
      <c r="LOJ37" s="759"/>
      <c r="LOK37" s="759"/>
      <c r="LOL37" s="759"/>
      <c r="LOM37" s="759"/>
      <c r="LON37" s="759"/>
      <c r="LOO37" s="759"/>
      <c r="LOP37" s="759"/>
      <c r="LOQ37" s="759"/>
      <c r="LOR37" s="759"/>
      <c r="LOS37" s="759"/>
      <c r="LOT37" s="759"/>
      <c r="LOU37" s="759"/>
      <c r="LOV37" s="759"/>
      <c r="LOW37" s="759"/>
      <c r="LOX37" s="759"/>
      <c r="LOY37" s="759"/>
      <c r="LOZ37" s="759"/>
      <c r="LPA37" s="759"/>
      <c r="LPB37" s="759"/>
      <c r="LPC37" s="759"/>
      <c r="LPD37" s="759"/>
      <c r="LPE37" s="759"/>
      <c r="LPF37" s="759"/>
      <c r="LPG37" s="759"/>
      <c r="LPH37" s="759"/>
      <c r="LPI37" s="759"/>
      <c r="LPJ37" s="759"/>
      <c r="LPK37" s="759"/>
      <c r="LPL37" s="759"/>
      <c r="LPM37" s="759"/>
      <c r="LPN37" s="759"/>
      <c r="LPO37" s="759"/>
      <c r="LPP37" s="759"/>
      <c r="LPQ37" s="759"/>
      <c r="LPR37" s="759"/>
      <c r="LPS37" s="759"/>
      <c r="LPT37" s="759"/>
      <c r="LPU37" s="759"/>
      <c r="LPV37" s="759"/>
      <c r="LPW37" s="759"/>
      <c r="LPX37" s="759"/>
      <c r="LPY37" s="759"/>
      <c r="LPZ37" s="759"/>
      <c r="LQA37" s="759"/>
      <c r="LQB37" s="759"/>
      <c r="LQC37" s="759"/>
      <c r="LQD37" s="759"/>
      <c r="LQE37" s="759"/>
      <c r="LQF37" s="759"/>
      <c r="LQG37" s="759"/>
      <c r="LQH37" s="759"/>
      <c r="LQI37" s="759"/>
      <c r="LQJ37" s="759"/>
      <c r="LQK37" s="759"/>
      <c r="LQL37" s="759"/>
      <c r="LQM37" s="759"/>
      <c r="LQN37" s="759"/>
      <c r="LQO37" s="759"/>
      <c r="LQP37" s="759"/>
      <c r="LQQ37" s="759"/>
      <c r="LQR37" s="759"/>
      <c r="LQS37" s="759"/>
      <c r="LQT37" s="759"/>
      <c r="LQU37" s="759"/>
      <c r="LQV37" s="759"/>
      <c r="LQW37" s="759"/>
      <c r="LQX37" s="759"/>
      <c r="LQY37" s="759"/>
      <c r="LQZ37" s="759"/>
      <c r="LRA37" s="759"/>
      <c r="LRB37" s="759"/>
      <c r="LRC37" s="759"/>
      <c r="LRD37" s="759"/>
      <c r="LRE37" s="759"/>
      <c r="LRF37" s="759"/>
      <c r="LRG37" s="759"/>
      <c r="LRH37" s="759"/>
      <c r="LRI37" s="759"/>
      <c r="LRJ37" s="759"/>
      <c r="LRK37" s="759"/>
      <c r="LRL37" s="759"/>
      <c r="LRM37" s="759"/>
      <c r="LRN37" s="759"/>
      <c r="LRO37" s="759"/>
      <c r="LRP37" s="759"/>
      <c r="LRQ37" s="759"/>
      <c r="LRR37" s="759"/>
      <c r="LRS37" s="759"/>
      <c r="LRT37" s="759"/>
      <c r="LRU37" s="759"/>
      <c r="LRV37" s="759"/>
      <c r="LRW37" s="759"/>
      <c r="LRX37" s="759"/>
      <c r="LRY37" s="759"/>
      <c r="LRZ37" s="759"/>
      <c r="LSA37" s="759"/>
      <c r="LSB37" s="759"/>
      <c r="LSC37" s="759"/>
      <c r="LSD37" s="759"/>
      <c r="LSE37" s="759"/>
      <c r="LSF37" s="759"/>
      <c r="LSG37" s="759"/>
      <c r="LSH37" s="759"/>
      <c r="LSI37" s="759"/>
      <c r="LSJ37" s="759"/>
      <c r="LSK37" s="759"/>
      <c r="LSL37" s="759"/>
      <c r="LSM37" s="759"/>
      <c r="LSN37" s="759"/>
      <c r="LSO37" s="759"/>
      <c r="LSP37" s="759"/>
      <c r="LSQ37" s="759"/>
      <c r="LSR37" s="759"/>
      <c r="LSS37" s="759"/>
      <c r="LST37" s="759"/>
      <c r="LSU37" s="759"/>
      <c r="LSV37" s="759"/>
      <c r="LSW37" s="759"/>
      <c r="LSX37" s="759"/>
      <c r="LSY37" s="759"/>
      <c r="LSZ37" s="759"/>
      <c r="LTA37" s="759"/>
      <c r="LTB37" s="759"/>
      <c r="LTC37" s="759"/>
      <c r="LTD37" s="759"/>
      <c r="LTE37" s="759"/>
      <c r="LTF37" s="759"/>
      <c r="LTG37" s="759"/>
      <c r="LTH37" s="759"/>
      <c r="LTI37" s="759"/>
      <c r="LTJ37" s="759"/>
      <c r="LTK37" s="759"/>
      <c r="LTL37" s="759"/>
      <c r="LTM37" s="759"/>
      <c r="LTN37" s="759"/>
      <c r="LTO37" s="759"/>
      <c r="LTP37" s="759"/>
      <c r="LTQ37" s="759"/>
      <c r="LTR37" s="759"/>
      <c r="LTS37" s="759"/>
      <c r="LTT37" s="759"/>
      <c r="LTU37" s="759"/>
      <c r="LTV37" s="759"/>
      <c r="LTW37" s="759"/>
      <c r="LTX37" s="759"/>
      <c r="LTY37" s="759"/>
      <c r="LTZ37" s="759"/>
      <c r="LUA37" s="759"/>
      <c r="LUB37" s="759"/>
      <c r="LUC37" s="759"/>
      <c r="LUD37" s="759"/>
      <c r="LUE37" s="759"/>
      <c r="LUF37" s="759"/>
      <c r="LUG37" s="759"/>
      <c r="LUH37" s="759"/>
      <c r="LUI37" s="759"/>
      <c r="LUJ37" s="759"/>
      <c r="LUK37" s="759"/>
      <c r="LUL37" s="759"/>
      <c r="LUM37" s="759"/>
      <c r="LUN37" s="759"/>
      <c r="LUO37" s="759"/>
      <c r="LUP37" s="759"/>
      <c r="LUQ37" s="759"/>
      <c r="LUR37" s="759"/>
      <c r="LUS37" s="759"/>
      <c r="LUT37" s="759"/>
      <c r="LUU37" s="759"/>
      <c r="LUV37" s="759"/>
      <c r="LUW37" s="759"/>
      <c r="LUX37" s="759"/>
      <c r="LUY37" s="759"/>
      <c r="LUZ37" s="759"/>
      <c r="LVA37" s="759"/>
      <c r="LVB37" s="759"/>
      <c r="LVC37" s="759"/>
      <c r="LVD37" s="759"/>
      <c r="LVE37" s="759"/>
      <c r="LVF37" s="759"/>
      <c r="LVG37" s="759"/>
      <c r="LVH37" s="759"/>
      <c r="LVI37" s="759"/>
      <c r="LVJ37" s="759"/>
      <c r="LVK37" s="759"/>
      <c r="LVL37" s="759"/>
      <c r="LVM37" s="759"/>
      <c r="LVN37" s="759"/>
      <c r="LVO37" s="759"/>
      <c r="LVP37" s="759"/>
      <c r="LVQ37" s="759"/>
      <c r="LVR37" s="759"/>
      <c r="LVS37" s="759"/>
      <c r="LVT37" s="759"/>
      <c r="LVU37" s="759"/>
      <c r="LVV37" s="759"/>
      <c r="LVW37" s="759"/>
      <c r="LVX37" s="759"/>
      <c r="LVY37" s="759"/>
      <c r="LVZ37" s="759"/>
      <c r="LWA37" s="759"/>
      <c r="LWB37" s="759"/>
      <c r="LWC37" s="759"/>
      <c r="LWD37" s="759"/>
      <c r="LWE37" s="759"/>
      <c r="LWF37" s="759"/>
      <c r="LWG37" s="759"/>
      <c r="LWH37" s="759"/>
      <c r="LWI37" s="759"/>
      <c r="LWJ37" s="759"/>
      <c r="LWK37" s="759"/>
      <c r="LWL37" s="759"/>
      <c r="LWM37" s="759"/>
      <c r="LWN37" s="759"/>
      <c r="LWO37" s="759"/>
      <c r="LWP37" s="759"/>
      <c r="LWQ37" s="759"/>
      <c r="LWR37" s="759"/>
      <c r="LWS37" s="759"/>
      <c r="LWT37" s="759"/>
      <c r="LWU37" s="759"/>
      <c r="LWV37" s="759"/>
      <c r="LWW37" s="759"/>
      <c r="LWX37" s="759"/>
      <c r="LWY37" s="759"/>
      <c r="LWZ37" s="759"/>
      <c r="LXA37" s="759"/>
      <c r="LXB37" s="759"/>
      <c r="LXC37" s="759"/>
      <c r="LXD37" s="759"/>
      <c r="LXE37" s="759"/>
      <c r="LXF37" s="759"/>
      <c r="LXG37" s="759"/>
      <c r="LXH37" s="759"/>
      <c r="LXI37" s="759"/>
      <c r="LXJ37" s="759"/>
      <c r="LXK37" s="759"/>
      <c r="LXL37" s="759"/>
      <c r="LXM37" s="759"/>
      <c r="LXN37" s="759"/>
      <c r="LXO37" s="759"/>
      <c r="LXP37" s="759"/>
      <c r="LXQ37" s="759"/>
      <c r="LXR37" s="759"/>
      <c r="LXS37" s="759"/>
      <c r="LXT37" s="759"/>
      <c r="LXU37" s="759"/>
      <c r="LXV37" s="759"/>
      <c r="LXW37" s="759"/>
      <c r="LXX37" s="759"/>
      <c r="LXY37" s="759"/>
      <c r="LXZ37" s="759"/>
      <c r="LYA37" s="759"/>
      <c r="LYB37" s="759"/>
      <c r="LYC37" s="759"/>
      <c r="LYD37" s="759"/>
      <c r="LYE37" s="759"/>
      <c r="LYF37" s="759"/>
      <c r="LYG37" s="759"/>
      <c r="LYH37" s="759"/>
      <c r="LYI37" s="759"/>
      <c r="LYJ37" s="759"/>
      <c r="LYK37" s="759"/>
      <c r="LYL37" s="759"/>
      <c r="LYM37" s="759"/>
      <c r="LYN37" s="759"/>
      <c r="LYO37" s="759"/>
      <c r="LYP37" s="759"/>
      <c r="LYQ37" s="759"/>
      <c r="LYR37" s="759"/>
      <c r="LYS37" s="759"/>
      <c r="LYT37" s="759"/>
      <c r="LYU37" s="759"/>
      <c r="LYV37" s="759"/>
      <c r="LYW37" s="759"/>
      <c r="LYX37" s="759"/>
      <c r="LYY37" s="759"/>
      <c r="LYZ37" s="759"/>
      <c r="LZA37" s="759"/>
      <c r="LZB37" s="759"/>
      <c r="LZC37" s="759"/>
      <c r="LZD37" s="759"/>
      <c r="LZE37" s="759"/>
      <c r="LZF37" s="759"/>
      <c r="LZG37" s="759"/>
      <c r="LZH37" s="759"/>
      <c r="LZI37" s="759"/>
      <c r="LZJ37" s="759"/>
      <c r="LZK37" s="759"/>
      <c r="LZL37" s="759"/>
      <c r="LZM37" s="759"/>
      <c r="LZN37" s="759"/>
      <c r="LZO37" s="759"/>
      <c r="LZP37" s="759"/>
      <c r="LZQ37" s="759"/>
      <c r="LZR37" s="759"/>
      <c r="LZS37" s="759"/>
      <c r="LZT37" s="759"/>
      <c r="LZU37" s="759"/>
      <c r="LZV37" s="759"/>
      <c r="LZW37" s="759"/>
      <c r="LZX37" s="759"/>
      <c r="LZY37" s="759"/>
      <c r="LZZ37" s="759"/>
      <c r="MAA37" s="759"/>
      <c r="MAB37" s="759"/>
      <c r="MAC37" s="759"/>
      <c r="MAD37" s="759"/>
      <c r="MAE37" s="759"/>
      <c r="MAF37" s="759"/>
      <c r="MAG37" s="759"/>
      <c r="MAH37" s="759"/>
      <c r="MAI37" s="759"/>
      <c r="MAJ37" s="759"/>
      <c r="MAK37" s="759"/>
      <c r="MAL37" s="759"/>
      <c r="MAM37" s="759"/>
      <c r="MAN37" s="759"/>
      <c r="MAO37" s="759"/>
      <c r="MAP37" s="759"/>
      <c r="MAQ37" s="759"/>
      <c r="MAR37" s="759"/>
      <c r="MAS37" s="759"/>
      <c r="MAT37" s="759"/>
      <c r="MAU37" s="759"/>
      <c r="MAV37" s="759"/>
      <c r="MAW37" s="759"/>
      <c r="MAX37" s="759"/>
      <c r="MAY37" s="759"/>
      <c r="MAZ37" s="759"/>
      <c r="MBA37" s="759"/>
      <c r="MBB37" s="759"/>
      <c r="MBC37" s="759"/>
      <c r="MBD37" s="759"/>
      <c r="MBE37" s="759"/>
      <c r="MBF37" s="759"/>
      <c r="MBG37" s="759"/>
      <c r="MBH37" s="759"/>
      <c r="MBI37" s="759"/>
      <c r="MBJ37" s="759"/>
      <c r="MBK37" s="759"/>
      <c r="MBL37" s="759"/>
      <c r="MBM37" s="759"/>
      <c r="MBN37" s="759"/>
      <c r="MBO37" s="759"/>
      <c r="MBP37" s="759"/>
      <c r="MBQ37" s="759"/>
      <c r="MBR37" s="759"/>
      <c r="MBS37" s="759"/>
      <c r="MBT37" s="759"/>
      <c r="MBU37" s="759"/>
      <c r="MBV37" s="759"/>
      <c r="MBW37" s="759"/>
      <c r="MBX37" s="759"/>
      <c r="MBY37" s="759"/>
      <c r="MBZ37" s="759"/>
      <c r="MCA37" s="759"/>
      <c r="MCB37" s="759"/>
      <c r="MCC37" s="759"/>
      <c r="MCD37" s="759"/>
      <c r="MCE37" s="759"/>
      <c r="MCF37" s="759"/>
      <c r="MCG37" s="759"/>
      <c r="MCH37" s="759"/>
      <c r="MCI37" s="759"/>
      <c r="MCJ37" s="759"/>
      <c r="MCK37" s="759"/>
      <c r="MCL37" s="759"/>
      <c r="MCM37" s="759"/>
      <c r="MCN37" s="759"/>
      <c r="MCO37" s="759"/>
      <c r="MCP37" s="759"/>
      <c r="MCQ37" s="759"/>
      <c r="MCR37" s="759"/>
      <c r="MCS37" s="759"/>
      <c r="MCT37" s="759"/>
      <c r="MCU37" s="759"/>
      <c r="MCV37" s="759"/>
      <c r="MCW37" s="759"/>
      <c r="MCX37" s="759"/>
      <c r="MCY37" s="759"/>
      <c r="MCZ37" s="759"/>
      <c r="MDA37" s="759"/>
      <c r="MDB37" s="759"/>
      <c r="MDC37" s="759"/>
      <c r="MDD37" s="759"/>
      <c r="MDE37" s="759"/>
      <c r="MDF37" s="759"/>
      <c r="MDG37" s="759"/>
      <c r="MDH37" s="759"/>
      <c r="MDI37" s="759"/>
      <c r="MDJ37" s="759"/>
      <c r="MDK37" s="759"/>
      <c r="MDL37" s="759"/>
      <c r="MDM37" s="759"/>
      <c r="MDN37" s="759"/>
      <c r="MDO37" s="759"/>
      <c r="MDP37" s="759"/>
      <c r="MDQ37" s="759"/>
      <c r="MDR37" s="759"/>
      <c r="MDS37" s="759"/>
      <c r="MDT37" s="759"/>
      <c r="MDU37" s="759"/>
      <c r="MDV37" s="759"/>
      <c r="MDW37" s="759"/>
      <c r="MDX37" s="759"/>
      <c r="MDY37" s="759"/>
      <c r="MDZ37" s="759"/>
      <c r="MEA37" s="759"/>
      <c r="MEB37" s="759"/>
      <c r="MEC37" s="759"/>
      <c r="MED37" s="759"/>
      <c r="MEE37" s="759"/>
      <c r="MEF37" s="759"/>
      <c r="MEG37" s="759"/>
      <c r="MEH37" s="759"/>
      <c r="MEI37" s="759"/>
      <c r="MEJ37" s="759"/>
      <c r="MEK37" s="759"/>
      <c r="MEL37" s="759"/>
      <c r="MEM37" s="759"/>
      <c r="MEN37" s="759"/>
      <c r="MEO37" s="759"/>
      <c r="MEP37" s="759"/>
      <c r="MEQ37" s="759"/>
      <c r="MER37" s="759"/>
      <c r="MES37" s="759"/>
      <c r="MET37" s="759"/>
      <c r="MEU37" s="759"/>
      <c r="MEV37" s="759"/>
      <c r="MEW37" s="759"/>
      <c r="MEX37" s="759"/>
      <c r="MEY37" s="759"/>
      <c r="MEZ37" s="759"/>
      <c r="MFA37" s="759"/>
      <c r="MFB37" s="759"/>
      <c r="MFC37" s="759"/>
      <c r="MFD37" s="759"/>
      <c r="MFE37" s="759"/>
      <c r="MFF37" s="759"/>
      <c r="MFG37" s="759"/>
      <c r="MFH37" s="759"/>
      <c r="MFI37" s="759"/>
      <c r="MFJ37" s="759"/>
      <c r="MFK37" s="759"/>
      <c r="MFL37" s="759"/>
      <c r="MFM37" s="759"/>
      <c r="MFN37" s="759"/>
      <c r="MFO37" s="759"/>
      <c r="MFP37" s="759"/>
      <c r="MFQ37" s="759"/>
      <c r="MFR37" s="759"/>
      <c r="MFS37" s="759"/>
      <c r="MFT37" s="759"/>
      <c r="MFU37" s="759"/>
      <c r="MFV37" s="759"/>
      <c r="MFW37" s="759"/>
      <c r="MFX37" s="759"/>
      <c r="MFY37" s="759"/>
      <c r="MFZ37" s="759"/>
      <c r="MGA37" s="759"/>
      <c r="MGB37" s="759"/>
      <c r="MGC37" s="759"/>
      <c r="MGD37" s="759"/>
      <c r="MGE37" s="759"/>
      <c r="MGF37" s="759"/>
      <c r="MGG37" s="759"/>
      <c r="MGH37" s="759"/>
      <c r="MGI37" s="759"/>
      <c r="MGJ37" s="759"/>
      <c r="MGK37" s="759"/>
      <c r="MGL37" s="759"/>
      <c r="MGM37" s="759"/>
      <c r="MGN37" s="759"/>
      <c r="MGO37" s="759"/>
      <c r="MGP37" s="759"/>
      <c r="MGQ37" s="759"/>
      <c r="MGR37" s="759"/>
      <c r="MGS37" s="759"/>
      <c r="MGT37" s="759"/>
      <c r="MGU37" s="759"/>
      <c r="MGV37" s="759"/>
      <c r="MGW37" s="759"/>
      <c r="MGX37" s="759"/>
      <c r="MGY37" s="759"/>
      <c r="MGZ37" s="759"/>
      <c r="MHA37" s="759"/>
      <c r="MHB37" s="759"/>
      <c r="MHC37" s="759"/>
      <c r="MHD37" s="759"/>
      <c r="MHE37" s="759"/>
      <c r="MHF37" s="759"/>
      <c r="MHG37" s="759"/>
      <c r="MHH37" s="759"/>
      <c r="MHI37" s="759"/>
      <c r="MHJ37" s="759"/>
      <c r="MHK37" s="759"/>
      <c r="MHL37" s="759"/>
      <c r="MHM37" s="759"/>
      <c r="MHN37" s="759"/>
      <c r="MHO37" s="759"/>
      <c r="MHP37" s="759"/>
      <c r="MHQ37" s="759"/>
      <c r="MHR37" s="759"/>
      <c r="MHS37" s="759"/>
      <c r="MHT37" s="759"/>
      <c r="MHU37" s="759"/>
      <c r="MHV37" s="759"/>
      <c r="MHW37" s="759"/>
      <c r="MHX37" s="759"/>
      <c r="MHY37" s="759"/>
      <c r="MHZ37" s="759"/>
      <c r="MIA37" s="759"/>
      <c r="MIB37" s="759"/>
      <c r="MIC37" s="759"/>
      <c r="MID37" s="759"/>
      <c r="MIE37" s="759"/>
      <c r="MIF37" s="759"/>
      <c r="MIG37" s="759"/>
      <c r="MIH37" s="759"/>
      <c r="MII37" s="759"/>
      <c r="MIJ37" s="759"/>
      <c r="MIK37" s="759"/>
      <c r="MIL37" s="759"/>
      <c r="MIM37" s="759"/>
      <c r="MIN37" s="759"/>
      <c r="MIO37" s="759"/>
      <c r="MIP37" s="759"/>
      <c r="MIQ37" s="759"/>
      <c r="MIR37" s="759"/>
      <c r="MIS37" s="759"/>
      <c r="MIT37" s="759"/>
      <c r="MIU37" s="759"/>
      <c r="MIV37" s="759"/>
      <c r="MIW37" s="759"/>
      <c r="MIX37" s="759"/>
      <c r="MIY37" s="759"/>
      <c r="MIZ37" s="759"/>
      <c r="MJA37" s="759"/>
      <c r="MJB37" s="759"/>
      <c r="MJC37" s="759"/>
      <c r="MJD37" s="759"/>
      <c r="MJE37" s="759"/>
      <c r="MJF37" s="759"/>
      <c r="MJG37" s="759"/>
      <c r="MJH37" s="759"/>
      <c r="MJI37" s="759"/>
      <c r="MJJ37" s="759"/>
      <c r="MJK37" s="759"/>
      <c r="MJL37" s="759"/>
      <c r="MJM37" s="759"/>
      <c r="MJN37" s="759"/>
      <c r="MJO37" s="759"/>
      <c r="MJP37" s="759"/>
      <c r="MJQ37" s="759"/>
      <c r="MJR37" s="759"/>
      <c r="MJS37" s="759"/>
      <c r="MJT37" s="759"/>
      <c r="MJU37" s="759"/>
      <c r="MJV37" s="759"/>
      <c r="MJW37" s="759"/>
      <c r="MJX37" s="759"/>
      <c r="MJY37" s="759"/>
      <c r="MJZ37" s="759"/>
      <c r="MKA37" s="759"/>
      <c r="MKB37" s="759"/>
      <c r="MKC37" s="759"/>
      <c r="MKD37" s="759"/>
      <c r="MKE37" s="759"/>
      <c r="MKF37" s="759"/>
      <c r="MKG37" s="759"/>
      <c r="MKH37" s="759"/>
      <c r="MKI37" s="759"/>
      <c r="MKJ37" s="759"/>
      <c r="MKK37" s="759"/>
      <c r="MKL37" s="759"/>
      <c r="MKM37" s="759"/>
      <c r="MKN37" s="759"/>
      <c r="MKO37" s="759"/>
      <c r="MKP37" s="759"/>
      <c r="MKQ37" s="759"/>
      <c r="MKR37" s="759"/>
      <c r="MKS37" s="759"/>
      <c r="MKT37" s="759"/>
      <c r="MKU37" s="759"/>
      <c r="MKV37" s="759"/>
      <c r="MKW37" s="759"/>
      <c r="MKX37" s="759"/>
      <c r="MKY37" s="759"/>
      <c r="MKZ37" s="759"/>
      <c r="MLA37" s="759"/>
      <c r="MLB37" s="759"/>
      <c r="MLC37" s="759"/>
      <c r="MLD37" s="759"/>
      <c r="MLE37" s="759"/>
      <c r="MLF37" s="759"/>
      <c r="MLG37" s="759"/>
      <c r="MLH37" s="759"/>
      <c r="MLI37" s="759"/>
      <c r="MLJ37" s="759"/>
      <c r="MLK37" s="759"/>
      <c r="MLL37" s="759"/>
      <c r="MLM37" s="759"/>
      <c r="MLN37" s="759"/>
      <c r="MLO37" s="759"/>
      <c r="MLP37" s="759"/>
      <c r="MLQ37" s="759"/>
      <c r="MLR37" s="759"/>
      <c r="MLS37" s="759"/>
      <c r="MLT37" s="759"/>
      <c r="MLU37" s="759"/>
      <c r="MLV37" s="759"/>
      <c r="MLW37" s="759"/>
      <c r="MLX37" s="759"/>
      <c r="MLY37" s="759"/>
      <c r="MLZ37" s="759"/>
      <c r="MMA37" s="759"/>
      <c r="MMB37" s="759"/>
      <c r="MMC37" s="759"/>
      <c r="MMD37" s="759"/>
      <c r="MME37" s="759"/>
      <c r="MMF37" s="759"/>
      <c r="MMG37" s="759"/>
      <c r="MMH37" s="759"/>
      <c r="MMI37" s="759"/>
      <c r="MMJ37" s="759"/>
      <c r="MMK37" s="759"/>
      <c r="MML37" s="759"/>
      <c r="MMM37" s="759"/>
      <c r="MMN37" s="759"/>
      <c r="MMO37" s="759"/>
      <c r="MMP37" s="759"/>
      <c r="MMQ37" s="759"/>
      <c r="MMR37" s="759"/>
      <c r="MMS37" s="759"/>
      <c r="MMT37" s="759"/>
      <c r="MMU37" s="759"/>
      <c r="MMV37" s="759"/>
      <c r="MMW37" s="759"/>
      <c r="MMX37" s="759"/>
      <c r="MMY37" s="759"/>
      <c r="MMZ37" s="759"/>
      <c r="MNA37" s="759"/>
      <c r="MNB37" s="759"/>
      <c r="MNC37" s="759"/>
      <c r="MND37" s="759"/>
      <c r="MNE37" s="759"/>
      <c r="MNF37" s="759"/>
      <c r="MNG37" s="759"/>
      <c r="MNH37" s="759"/>
      <c r="MNI37" s="759"/>
      <c r="MNJ37" s="759"/>
      <c r="MNK37" s="759"/>
      <c r="MNL37" s="759"/>
      <c r="MNM37" s="759"/>
      <c r="MNN37" s="759"/>
      <c r="MNO37" s="759"/>
      <c r="MNP37" s="759"/>
      <c r="MNQ37" s="759"/>
      <c r="MNR37" s="759"/>
      <c r="MNS37" s="759"/>
      <c r="MNT37" s="759"/>
      <c r="MNU37" s="759"/>
      <c r="MNV37" s="759"/>
      <c r="MNW37" s="759"/>
      <c r="MNX37" s="759"/>
      <c r="MNY37" s="759"/>
      <c r="MNZ37" s="759"/>
      <c r="MOA37" s="759"/>
      <c r="MOB37" s="759"/>
      <c r="MOC37" s="759"/>
      <c r="MOD37" s="759"/>
      <c r="MOE37" s="759"/>
      <c r="MOF37" s="759"/>
      <c r="MOG37" s="759"/>
      <c r="MOH37" s="759"/>
      <c r="MOI37" s="759"/>
      <c r="MOJ37" s="759"/>
      <c r="MOK37" s="759"/>
      <c r="MOL37" s="759"/>
      <c r="MOM37" s="759"/>
      <c r="MON37" s="759"/>
      <c r="MOO37" s="759"/>
      <c r="MOP37" s="759"/>
      <c r="MOQ37" s="759"/>
      <c r="MOR37" s="759"/>
      <c r="MOS37" s="759"/>
      <c r="MOT37" s="759"/>
      <c r="MOU37" s="759"/>
      <c r="MOV37" s="759"/>
      <c r="MOW37" s="759"/>
      <c r="MOX37" s="759"/>
      <c r="MOY37" s="759"/>
      <c r="MOZ37" s="759"/>
      <c r="MPA37" s="759"/>
      <c r="MPB37" s="759"/>
      <c r="MPC37" s="759"/>
      <c r="MPD37" s="759"/>
      <c r="MPE37" s="759"/>
      <c r="MPF37" s="759"/>
      <c r="MPG37" s="759"/>
      <c r="MPH37" s="759"/>
      <c r="MPI37" s="759"/>
      <c r="MPJ37" s="759"/>
      <c r="MPK37" s="759"/>
      <c r="MPL37" s="759"/>
      <c r="MPM37" s="759"/>
      <c r="MPN37" s="759"/>
      <c r="MPO37" s="759"/>
      <c r="MPP37" s="759"/>
      <c r="MPQ37" s="759"/>
      <c r="MPR37" s="759"/>
      <c r="MPS37" s="759"/>
      <c r="MPT37" s="759"/>
      <c r="MPU37" s="759"/>
      <c r="MPV37" s="759"/>
      <c r="MPW37" s="759"/>
      <c r="MPX37" s="759"/>
      <c r="MPY37" s="759"/>
      <c r="MPZ37" s="759"/>
      <c r="MQA37" s="759"/>
      <c r="MQB37" s="759"/>
      <c r="MQC37" s="759"/>
      <c r="MQD37" s="759"/>
      <c r="MQE37" s="759"/>
      <c r="MQF37" s="759"/>
      <c r="MQG37" s="759"/>
      <c r="MQH37" s="759"/>
      <c r="MQI37" s="759"/>
      <c r="MQJ37" s="759"/>
      <c r="MQK37" s="759"/>
      <c r="MQL37" s="759"/>
      <c r="MQM37" s="759"/>
      <c r="MQN37" s="759"/>
      <c r="MQO37" s="759"/>
      <c r="MQP37" s="759"/>
      <c r="MQQ37" s="759"/>
      <c r="MQR37" s="759"/>
      <c r="MQS37" s="759"/>
      <c r="MQT37" s="759"/>
      <c r="MQU37" s="759"/>
      <c r="MQV37" s="759"/>
      <c r="MQW37" s="759"/>
      <c r="MQX37" s="759"/>
      <c r="MQY37" s="759"/>
      <c r="MQZ37" s="759"/>
      <c r="MRA37" s="759"/>
      <c r="MRB37" s="759"/>
      <c r="MRC37" s="759"/>
      <c r="MRD37" s="759"/>
      <c r="MRE37" s="759"/>
      <c r="MRF37" s="759"/>
      <c r="MRG37" s="759"/>
      <c r="MRH37" s="759"/>
      <c r="MRI37" s="759"/>
      <c r="MRJ37" s="759"/>
      <c r="MRK37" s="759"/>
      <c r="MRL37" s="759"/>
      <c r="MRM37" s="759"/>
      <c r="MRN37" s="759"/>
      <c r="MRO37" s="759"/>
      <c r="MRP37" s="759"/>
      <c r="MRQ37" s="759"/>
      <c r="MRR37" s="759"/>
      <c r="MRS37" s="759"/>
      <c r="MRT37" s="759"/>
      <c r="MRU37" s="759"/>
      <c r="MRV37" s="759"/>
      <c r="MRW37" s="759"/>
      <c r="MRX37" s="759"/>
      <c r="MRY37" s="759"/>
      <c r="MRZ37" s="759"/>
      <c r="MSA37" s="759"/>
      <c r="MSB37" s="759"/>
      <c r="MSC37" s="759"/>
      <c r="MSD37" s="759"/>
      <c r="MSE37" s="759"/>
      <c r="MSF37" s="759"/>
      <c r="MSG37" s="759"/>
      <c r="MSH37" s="759"/>
      <c r="MSI37" s="759"/>
      <c r="MSJ37" s="759"/>
      <c r="MSK37" s="759"/>
      <c r="MSL37" s="759"/>
      <c r="MSM37" s="759"/>
      <c r="MSN37" s="759"/>
      <c r="MSO37" s="759"/>
      <c r="MSP37" s="759"/>
      <c r="MSQ37" s="759"/>
      <c r="MSR37" s="759"/>
      <c r="MSS37" s="759"/>
      <c r="MST37" s="759"/>
      <c r="MSU37" s="759"/>
      <c r="MSV37" s="759"/>
      <c r="MSW37" s="759"/>
      <c r="MSX37" s="759"/>
      <c r="MSY37" s="759"/>
      <c r="MSZ37" s="759"/>
      <c r="MTA37" s="759"/>
      <c r="MTB37" s="759"/>
      <c r="MTC37" s="759"/>
      <c r="MTD37" s="759"/>
      <c r="MTE37" s="759"/>
      <c r="MTF37" s="759"/>
      <c r="MTG37" s="759"/>
      <c r="MTH37" s="759"/>
      <c r="MTI37" s="759"/>
      <c r="MTJ37" s="759"/>
      <c r="MTK37" s="759"/>
      <c r="MTL37" s="759"/>
      <c r="MTM37" s="759"/>
      <c r="MTN37" s="759"/>
      <c r="MTO37" s="759"/>
      <c r="MTP37" s="759"/>
      <c r="MTQ37" s="759"/>
      <c r="MTR37" s="759"/>
      <c r="MTS37" s="759"/>
      <c r="MTT37" s="759"/>
      <c r="MTU37" s="759"/>
      <c r="MTV37" s="759"/>
      <c r="MTW37" s="759"/>
      <c r="MTX37" s="759"/>
      <c r="MTY37" s="759"/>
      <c r="MTZ37" s="759"/>
      <c r="MUA37" s="759"/>
      <c r="MUB37" s="759"/>
      <c r="MUC37" s="759"/>
      <c r="MUD37" s="759"/>
      <c r="MUE37" s="759"/>
      <c r="MUF37" s="759"/>
      <c r="MUG37" s="759"/>
      <c r="MUH37" s="759"/>
      <c r="MUI37" s="759"/>
      <c r="MUJ37" s="759"/>
      <c r="MUK37" s="759"/>
      <c r="MUL37" s="759"/>
      <c r="MUM37" s="759"/>
      <c r="MUN37" s="759"/>
      <c r="MUO37" s="759"/>
      <c r="MUP37" s="759"/>
      <c r="MUQ37" s="759"/>
      <c r="MUR37" s="759"/>
      <c r="MUS37" s="759"/>
      <c r="MUT37" s="759"/>
      <c r="MUU37" s="759"/>
      <c r="MUV37" s="759"/>
      <c r="MUW37" s="759"/>
      <c r="MUX37" s="759"/>
      <c r="MUY37" s="759"/>
      <c r="MUZ37" s="759"/>
      <c r="MVA37" s="759"/>
      <c r="MVB37" s="759"/>
      <c r="MVC37" s="759"/>
      <c r="MVD37" s="759"/>
      <c r="MVE37" s="759"/>
      <c r="MVF37" s="759"/>
      <c r="MVG37" s="759"/>
      <c r="MVH37" s="759"/>
      <c r="MVI37" s="759"/>
      <c r="MVJ37" s="759"/>
      <c r="MVK37" s="759"/>
      <c r="MVL37" s="759"/>
      <c r="MVM37" s="759"/>
      <c r="MVN37" s="759"/>
      <c r="MVO37" s="759"/>
      <c r="MVP37" s="759"/>
      <c r="MVQ37" s="759"/>
      <c r="MVR37" s="759"/>
      <c r="MVS37" s="759"/>
      <c r="MVT37" s="759"/>
      <c r="MVU37" s="759"/>
      <c r="MVV37" s="759"/>
      <c r="MVW37" s="759"/>
      <c r="MVX37" s="759"/>
      <c r="MVY37" s="759"/>
      <c r="MVZ37" s="759"/>
      <c r="MWA37" s="759"/>
      <c r="MWB37" s="759"/>
      <c r="MWC37" s="759"/>
      <c r="MWD37" s="759"/>
      <c r="MWE37" s="759"/>
      <c r="MWF37" s="759"/>
      <c r="MWG37" s="759"/>
      <c r="MWH37" s="759"/>
      <c r="MWI37" s="759"/>
      <c r="MWJ37" s="759"/>
      <c r="MWK37" s="759"/>
      <c r="MWL37" s="759"/>
      <c r="MWM37" s="759"/>
      <c r="MWN37" s="759"/>
      <c r="MWO37" s="759"/>
      <c r="MWP37" s="759"/>
      <c r="MWQ37" s="759"/>
      <c r="MWR37" s="759"/>
      <c r="MWS37" s="759"/>
      <c r="MWT37" s="759"/>
      <c r="MWU37" s="759"/>
      <c r="MWV37" s="759"/>
      <c r="MWW37" s="759"/>
      <c r="MWX37" s="759"/>
      <c r="MWY37" s="759"/>
      <c r="MWZ37" s="759"/>
      <c r="MXA37" s="759"/>
      <c r="MXB37" s="759"/>
      <c r="MXC37" s="759"/>
      <c r="MXD37" s="759"/>
      <c r="MXE37" s="759"/>
      <c r="MXF37" s="759"/>
      <c r="MXG37" s="759"/>
      <c r="MXH37" s="759"/>
      <c r="MXI37" s="759"/>
      <c r="MXJ37" s="759"/>
      <c r="MXK37" s="759"/>
      <c r="MXL37" s="759"/>
      <c r="MXM37" s="759"/>
      <c r="MXN37" s="759"/>
      <c r="MXO37" s="759"/>
      <c r="MXP37" s="759"/>
      <c r="MXQ37" s="759"/>
      <c r="MXR37" s="759"/>
      <c r="MXS37" s="759"/>
      <c r="MXT37" s="759"/>
      <c r="MXU37" s="759"/>
      <c r="MXV37" s="759"/>
      <c r="MXW37" s="759"/>
      <c r="MXX37" s="759"/>
      <c r="MXY37" s="759"/>
      <c r="MXZ37" s="759"/>
      <c r="MYA37" s="759"/>
      <c r="MYB37" s="759"/>
      <c r="MYC37" s="759"/>
      <c r="MYD37" s="759"/>
      <c r="MYE37" s="759"/>
      <c r="MYF37" s="759"/>
      <c r="MYG37" s="759"/>
      <c r="MYH37" s="759"/>
      <c r="MYI37" s="759"/>
      <c r="MYJ37" s="759"/>
      <c r="MYK37" s="759"/>
      <c r="MYL37" s="759"/>
      <c r="MYM37" s="759"/>
      <c r="MYN37" s="759"/>
      <c r="MYO37" s="759"/>
      <c r="MYP37" s="759"/>
      <c r="MYQ37" s="759"/>
      <c r="MYR37" s="759"/>
      <c r="MYS37" s="759"/>
      <c r="MYT37" s="759"/>
      <c r="MYU37" s="759"/>
      <c r="MYV37" s="759"/>
      <c r="MYW37" s="759"/>
      <c r="MYX37" s="759"/>
      <c r="MYY37" s="759"/>
      <c r="MYZ37" s="759"/>
      <c r="MZA37" s="759"/>
      <c r="MZB37" s="759"/>
      <c r="MZC37" s="759"/>
      <c r="MZD37" s="759"/>
      <c r="MZE37" s="759"/>
      <c r="MZF37" s="759"/>
      <c r="MZG37" s="759"/>
      <c r="MZH37" s="759"/>
      <c r="MZI37" s="759"/>
      <c r="MZJ37" s="759"/>
      <c r="MZK37" s="759"/>
      <c r="MZL37" s="759"/>
      <c r="MZM37" s="759"/>
      <c r="MZN37" s="759"/>
      <c r="MZO37" s="759"/>
      <c r="MZP37" s="759"/>
      <c r="MZQ37" s="759"/>
      <c r="MZR37" s="759"/>
      <c r="MZS37" s="759"/>
      <c r="MZT37" s="759"/>
      <c r="MZU37" s="759"/>
      <c r="MZV37" s="759"/>
      <c r="MZW37" s="759"/>
      <c r="MZX37" s="759"/>
      <c r="MZY37" s="759"/>
      <c r="MZZ37" s="759"/>
      <c r="NAA37" s="759"/>
      <c r="NAB37" s="759"/>
      <c r="NAC37" s="759"/>
      <c r="NAD37" s="759"/>
      <c r="NAE37" s="759"/>
      <c r="NAF37" s="759"/>
      <c r="NAG37" s="759"/>
      <c r="NAH37" s="759"/>
      <c r="NAI37" s="759"/>
      <c r="NAJ37" s="759"/>
      <c r="NAK37" s="759"/>
      <c r="NAL37" s="759"/>
      <c r="NAM37" s="759"/>
      <c r="NAN37" s="759"/>
      <c r="NAO37" s="759"/>
      <c r="NAP37" s="759"/>
      <c r="NAQ37" s="759"/>
      <c r="NAR37" s="759"/>
      <c r="NAS37" s="759"/>
      <c r="NAT37" s="759"/>
      <c r="NAU37" s="759"/>
      <c r="NAV37" s="759"/>
      <c r="NAW37" s="759"/>
      <c r="NAX37" s="759"/>
      <c r="NAY37" s="759"/>
      <c r="NAZ37" s="759"/>
      <c r="NBA37" s="759"/>
      <c r="NBB37" s="759"/>
      <c r="NBC37" s="759"/>
      <c r="NBD37" s="759"/>
      <c r="NBE37" s="759"/>
      <c r="NBF37" s="759"/>
      <c r="NBG37" s="759"/>
      <c r="NBH37" s="759"/>
      <c r="NBI37" s="759"/>
      <c r="NBJ37" s="759"/>
      <c r="NBK37" s="759"/>
      <c r="NBL37" s="759"/>
      <c r="NBM37" s="759"/>
      <c r="NBN37" s="759"/>
      <c r="NBO37" s="759"/>
      <c r="NBP37" s="759"/>
      <c r="NBQ37" s="759"/>
      <c r="NBR37" s="759"/>
      <c r="NBS37" s="759"/>
      <c r="NBT37" s="759"/>
      <c r="NBU37" s="759"/>
      <c r="NBV37" s="759"/>
      <c r="NBW37" s="759"/>
      <c r="NBX37" s="759"/>
      <c r="NBY37" s="759"/>
      <c r="NBZ37" s="759"/>
      <c r="NCA37" s="759"/>
      <c r="NCB37" s="759"/>
      <c r="NCC37" s="759"/>
      <c r="NCD37" s="759"/>
      <c r="NCE37" s="759"/>
      <c r="NCF37" s="759"/>
      <c r="NCG37" s="759"/>
      <c r="NCH37" s="759"/>
      <c r="NCI37" s="759"/>
      <c r="NCJ37" s="759"/>
      <c r="NCK37" s="759"/>
      <c r="NCL37" s="759"/>
      <c r="NCM37" s="759"/>
      <c r="NCN37" s="759"/>
      <c r="NCO37" s="759"/>
      <c r="NCP37" s="759"/>
      <c r="NCQ37" s="759"/>
      <c r="NCR37" s="759"/>
      <c r="NCS37" s="759"/>
      <c r="NCT37" s="759"/>
      <c r="NCU37" s="759"/>
      <c r="NCV37" s="759"/>
      <c r="NCW37" s="759"/>
      <c r="NCX37" s="759"/>
      <c r="NCY37" s="759"/>
      <c r="NCZ37" s="759"/>
      <c r="NDA37" s="759"/>
      <c r="NDB37" s="759"/>
      <c r="NDC37" s="759"/>
      <c r="NDD37" s="759"/>
      <c r="NDE37" s="759"/>
      <c r="NDF37" s="759"/>
      <c r="NDG37" s="759"/>
      <c r="NDH37" s="759"/>
      <c r="NDI37" s="759"/>
      <c r="NDJ37" s="759"/>
      <c r="NDK37" s="759"/>
      <c r="NDL37" s="759"/>
      <c r="NDM37" s="759"/>
      <c r="NDN37" s="759"/>
      <c r="NDO37" s="759"/>
      <c r="NDP37" s="759"/>
      <c r="NDQ37" s="759"/>
      <c r="NDR37" s="759"/>
      <c r="NDS37" s="759"/>
      <c r="NDT37" s="759"/>
      <c r="NDU37" s="759"/>
      <c r="NDV37" s="759"/>
      <c r="NDW37" s="759"/>
      <c r="NDX37" s="759"/>
      <c r="NDY37" s="759"/>
      <c r="NDZ37" s="759"/>
      <c r="NEA37" s="759"/>
      <c r="NEB37" s="759"/>
      <c r="NEC37" s="759"/>
      <c r="NED37" s="759"/>
      <c r="NEE37" s="759"/>
      <c r="NEF37" s="759"/>
      <c r="NEG37" s="759"/>
      <c r="NEH37" s="759"/>
      <c r="NEI37" s="759"/>
      <c r="NEJ37" s="759"/>
      <c r="NEK37" s="759"/>
      <c r="NEL37" s="759"/>
      <c r="NEM37" s="759"/>
      <c r="NEN37" s="759"/>
      <c r="NEO37" s="759"/>
      <c r="NEP37" s="759"/>
      <c r="NEQ37" s="759"/>
      <c r="NER37" s="759"/>
      <c r="NES37" s="759"/>
      <c r="NET37" s="759"/>
      <c r="NEU37" s="759"/>
      <c r="NEV37" s="759"/>
      <c r="NEW37" s="759"/>
      <c r="NEX37" s="759"/>
      <c r="NEY37" s="759"/>
      <c r="NEZ37" s="759"/>
      <c r="NFA37" s="759"/>
      <c r="NFB37" s="759"/>
      <c r="NFC37" s="759"/>
      <c r="NFD37" s="759"/>
      <c r="NFE37" s="759"/>
      <c r="NFF37" s="759"/>
      <c r="NFG37" s="759"/>
      <c r="NFH37" s="759"/>
      <c r="NFI37" s="759"/>
      <c r="NFJ37" s="759"/>
      <c r="NFK37" s="759"/>
      <c r="NFL37" s="759"/>
      <c r="NFM37" s="759"/>
      <c r="NFN37" s="759"/>
      <c r="NFO37" s="759"/>
      <c r="NFP37" s="759"/>
      <c r="NFQ37" s="759"/>
      <c r="NFR37" s="759"/>
      <c r="NFS37" s="759"/>
      <c r="NFT37" s="759"/>
      <c r="NFU37" s="759"/>
      <c r="NFV37" s="759"/>
      <c r="NFW37" s="759"/>
      <c r="NFX37" s="759"/>
      <c r="NFY37" s="759"/>
      <c r="NFZ37" s="759"/>
      <c r="NGA37" s="759"/>
      <c r="NGB37" s="759"/>
      <c r="NGC37" s="759"/>
      <c r="NGD37" s="759"/>
      <c r="NGE37" s="759"/>
      <c r="NGF37" s="759"/>
      <c r="NGG37" s="759"/>
      <c r="NGH37" s="759"/>
      <c r="NGI37" s="759"/>
      <c r="NGJ37" s="759"/>
      <c r="NGK37" s="759"/>
      <c r="NGL37" s="759"/>
      <c r="NGM37" s="759"/>
      <c r="NGN37" s="759"/>
      <c r="NGO37" s="759"/>
      <c r="NGP37" s="759"/>
      <c r="NGQ37" s="759"/>
      <c r="NGR37" s="759"/>
      <c r="NGS37" s="759"/>
      <c r="NGT37" s="759"/>
      <c r="NGU37" s="759"/>
      <c r="NGV37" s="759"/>
      <c r="NGW37" s="759"/>
      <c r="NGX37" s="759"/>
      <c r="NGY37" s="759"/>
      <c r="NGZ37" s="759"/>
      <c r="NHA37" s="759"/>
      <c r="NHB37" s="759"/>
      <c r="NHC37" s="759"/>
      <c r="NHD37" s="759"/>
      <c r="NHE37" s="759"/>
      <c r="NHF37" s="759"/>
      <c r="NHG37" s="759"/>
      <c r="NHH37" s="759"/>
      <c r="NHI37" s="759"/>
      <c r="NHJ37" s="759"/>
      <c r="NHK37" s="759"/>
      <c r="NHL37" s="759"/>
      <c r="NHM37" s="759"/>
      <c r="NHN37" s="759"/>
      <c r="NHO37" s="759"/>
      <c r="NHP37" s="759"/>
      <c r="NHQ37" s="759"/>
      <c r="NHR37" s="759"/>
      <c r="NHS37" s="759"/>
      <c r="NHT37" s="759"/>
      <c r="NHU37" s="759"/>
      <c r="NHV37" s="759"/>
      <c r="NHW37" s="759"/>
      <c r="NHX37" s="759"/>
      <c r="NHY37" s="759"/>
      <c r="NHZ37" s="759"/>
      <c r="NIA37" s="759"/>
      <c r="NIB37" s="759"/>
      <c r="NIC37" s="759"/>
      <c r="NID37" s="759"/>
      <c r="NIE37" s="759"/>
      <c r="NIF37" s="759"/>
      <c r="NIG37" s="759"/>
      <c r="NIH37" s="759"/>
      <c r="NII37" s="759"/>
      <c r="NIJ37" s="759"/>
      <c r="NIK37" s="759"/>
      <c r="NIL37" s="759"/>
      <c r="NIM37" s="759"/>
      <c r="NIN37" s="759"/>
      <c r="NIO37" s="759"/>
      <c r="NIP37" s="759"/>
      <c r="NIQ37" s="759"/>
      <c r="NIR37" s="759"/>
      <c r="NIS37" s="759"/>
      <c r="NIT37" s="759"/>
      <c r="NIU37" s="759"/>
      <c r="NIV37" s="759"/>
      <c r="NIW37" s="759"/>
      <c r="NIX37" s="759"/>
      <c r="NIY37" s="759"/>
      <c r="NIZ37" s="759"/>
      <c r="NJA37" s="759"/>
      <c r="NJB37" s="759"/>
      <c r="NJC37" s="759"/>
      <c r="NJD37" s="759"/>
      <c r="NJE37" s="759"/>
      <c r="NJF37" s="759"/>
      <c r="NJG37" s="759"/>
      <c r="NJH37" s="759"/>
      <c r="NJI37" s="759"/>
      <c r="NJJ37" s="759"/>
      <c r="NJK37" s="759"/>
      <c r="NJL37" s="759"/>
      <c r="NJM37" s="759"/>
      <c r="NJN37" s="759"/>
      <c r="NJO37" s="759"/>
      <c r="NJP37" s="759"/>
      <c r="NJQ37" s="759"/>
      <c r="NJR37" s="759"/>
      <c r="NJS37" s="759"/>
      <c r="NJT37" s="759"/>
      <c r="NJU37" s="759"/>
      <c r="NJV37" s="759"/>
      <c r="NJW37" s="759"/>
      <c r="NJX37" s="759"/>
      <c r="NJY37" s="759"/>
      <c r="NJZ37" s="759"/>
      <c r="NKA37" s="759"/>
      <c r="NKB37" s="759"/>
      <c r="NKC37" s="759"/>
      <c r="NKD37" s="759"/>
      <c r="NKE37" s="759"/>
      <c r="NKF37" s="759"/>
      <c r="NKG37" s="759"/>
      <c r="NKH37" s="759"/>
      <c r="NKI37" s="759"/>
      <c r="NKJ37" s="759"/>
      <c r="NKK37" s="759"/>
      <c r="NKL37" s="759"/>
      <c r="NKM37" s="759"/>
      <c r="NKN37" s="759"/>
      <c r="NKO37" s="759"/>
      <c r="NKP37" s="759"/>
      <c r="NKQ37" s="759"/>
      <c r="NKR37" s="759"/>
      <c r="NKS37" s="759"/>
      <c r="NKT37" s="759"/>
      <c r="NKU37" s="759"/>
      <c r="NKV37" s="759"/>
      <c r="NKW37" s="759"/>
      <c r="NKX37" s="759"/>
      <c r="NKY37" s="759"/>
      <c r="NKZ37" s="759"/>
      <c r="NLA37" s="759"/>
      <c r="NLB37" s="759"/>
      <c r="NLC37" s="759"/>
      <c r="NLD37" s="759"/>
      <c r="NLE37" s="759"/>
      <c r="NLF37" s="759"/>
      <c r="NLG37" s="759"/>
      <c r="NLH37" s="759"/>
      <c r="NLI37" s="759"/>
      <c r="NLJ37" s="759"/>
      <c r="NLK37" s="759"/>
      <c r="NLL37" s="759"/>
      <c r="NLM37" s="759"/>
      <c r="NLN37" s="759"/>
      <c r="NLO37" s="759"/>
      <c r="NLP37" s="759"/>
      <c r="NLQ37" s="759"/>
      <c r="NLR37" s="759"/>
      <c r="NLS37" s="759"/>
      <c r="NLT37" s="759"/>
      <c r="NLU37" s="759"/>
      <c r="NLV37" s="759"/>
      <c r="NLW37" s="759"/>
      <c r="NLX37" s="759"/>
      <c r="NLY37" s="759"/>
      <c r="NLZ37" s="759"/>
      <c r="NMA37" s="759"/>
      <c r="NMB37" s="759"/>
      <c r="NMC37" s="759"/>
      <c r="NMD37" s="759"/>
      <c r="NME37" s="759"/>
      <c r="NMF37" s="759"/>
      <c r="NMG37" s="759"/>
      <c r="NMH37" s="759"/>
      <c r="NMI37" s="759"/>
      <c r="NMJ37" s="759"/>
      <c r="NMK37" s="759"/>
      <c r="NML37" s="759"/>
      <c r="NMM37" s="759"/>
      <c r="NMN37" s="759"/>
      <c r="NMO37" s="759"/>
      <c r="NMP37" s="759"/>
      <c r="NMQ37" s="759"/>
      <c r="NMR37" s="759"/>
      <c r="NMS37" s="759"/>
      <c r="NMT37" s="759"/>
      <c r="NMU37" s="759"/>
      <c r="NMV37" s="759"/>
      <c r="NMW37" s="759"/>
      <c r="NMX37" s="759"/>
      <c r="NMY37" s="759"/>
      <c r="NMZ37" s="759"/>
      <c r="NNA37" s="759"/>
      <c r="NNB37" s="759"/>
      <c r="NNC37" s="759"/>
      <c r="NND37" s="759"/>
      <c r="NNE37" s="759"/>
      <c r="NNF37" s="759"/>
      <c r="NNG37" s="759"/>
      <c r="NNH37" s="759"/>
      <c r="NNI37" s="759"/>
      <c r="NNJ37" s="759"/>
      <c r="NNK37" s="759"/>
      <c r="NNL37" s="759"/>
      <c r="NNM37" s="759"/>
      <c r="NNN37" s="759"/>
      <c r="NNO37" s="759"/>
      <c r="NNP37" s="759"/>
      <c r="NNQ37" s="759"/>
      <c r="NNR37" s="759"/>
      <c r="NNS37" s="759"/>
      <c r="NNT37" s="759"/>
      <c r="NNU37" s="759"/>
      <c r="NNV37" s="759"/>
      <c r="NNW37" s="759"/>
      <c r="NNX37" s="759"/>
      <c r="NNY37" s="759"/>
      <c r="NNZ37" s="759"/>
      <c r="NOA37" s="759"/>
      <c r="NOB37" s="759"/>
      <c r="NOC37" s="759"/>
      <c r="NOD37" s="759"/>
      <c r="NOE37" s="759"/>
      <c r="NOF37" s="759"/>
      <c r="NOG37" s="759"/>
      <c r="NOH37" s="759"/>
      <c r="NOI37" s="759"/>
      <c r="NOJ37" s="759"/>
      <c r="NOK37" s="759"/>
      <c r="NOL37" s="759"/>
      <c r="NOM37" s="759"/>
      <c r="NON37" s="759"/>
      <c r="NOO37" s="759"/>
      <c r="NOP37" s="759"/>
      <c r="NOQ37" s="759"/>
      <c r="NOR37" s="759"/>
      <c r="NOS37" s="759"/>
      <c r="NOT37" s="759"/>
      <c r="NOU37" s="759"/>
      <c r="NOV37" s="759"/>
      <c r="NOW37" s="759"/>
      <c r="NOX37" s="759"/>
      <c r="NOY37" s="759"/>
      <c r="NOZ37" s="759"/>
      <c r="NPA37" s="759"/>
      <c r="NPB37" s="759"/>
      <c r="NPC37" s="759"/>
      <c r="NPD37" s="759"/>
      <c r="NPE37" s="759"/>
      <c r="NPF37" s="759"/>
      <c r="NPG37" s="759"/>
      <c r="NPH37" s="759"/>
      <c r="NPI37" s="759"/>
      <c r="NPJ37" s="759"/>
      <c r="NPK37" s="759"/>
      <c r="NPL37" s="759"/>
      <c r="NPM37" s="759"/>
      <c r="NPN37" s="759"/>
      <c r="NPO37" s="759"/>
      <c r="NPP37" s="759"/>
      <c r="NPQ37" s="759"/>
      <c r="NPR37" s="759"/>
      <c r="NPS37" s="759"/>
      <c r="NPT37" s="759"/>
      <c r="NPU37" s="759"/>
      <c r="NPV37" s="759"/>
      <c r="NPW37" s="759"/>
      <c r="NPX37" s="759"/>
      <c r="NPY37" s="759"/>
      <c r="NPZ37" s="759"/>
      <c r="NQA37" s="759"/>
      <c r="NQB37" s="759"/>
      <c r="NQC37" s="759"/>
      <c r="NQD37" s="759"/>
      <c r="NQE37" s="759"/>
      <c r="NQF37" s="759"/>
      <c r="NQG37" s="759"/>
      <c r="NQH37" s="759"/>
      <c r="NQI37" s="759"/>
      <c r="NQJ37" s="759"/>
      <c r="NQK37" s="759"/>
      <c r="NQL37" s="759"/>
      <c r="NQM37" s="759"/>
      <c r="NQN37" s="759"/>
      <c r="NQO37" s="759"/>
      <c r="NQP37" s="759"/>
      <c r="NQQ37" s="759"/>
      <c r="NQR37" s="759"/>
      <c r="NQS37" s="759"/>
      <c r="NQT37" s="759"/>
      <c r="NQU37" s="759"/>
      <c r="NQV37" s="759"/>
      <c r="NQW37" s="759"/>
      <c r="NQX37" s="759"/>
      <c r="NQY37" s="759"/>
      <c r="NQZ37" s="759"/>
      <c r="NRA37" s="759"/>
      <c r="NRB37" s="759"/>
      <c r="NRC37" s="759"/>
      <c r="NRD37" s="759"/>
      <c r="NRE37" s="759"/>
      <c r="NRF37" s="759"/>
      <c r="NRG37" s="759"/>
      <c r="NRH37" s="759"/>
      <c r="NRI37" s="759"/>
      <c r="NRJ37" s="759"/>
      <c r="NRK37" s="759"/>
      <c r="NRL37" s="759"/>
      <c r="NRM37" s="759"/>
      <c r="NRN37" s="759"/>
      <c r="NRO37" s="759"/>
      <c r="NRP37" s="759"/>
      <c r="NRQ37" s="759"/>
      <c r="NRR37" s="759"/>
      <c r="NRS37" s="759"/>
      <c r="NRT37" s="759"/>
      <c r="NRU37" s="759"/>
      <c r="NRV37" s="759"/>
      <c r="NRW37" s="759"/>
      <c r="NRX37" s="759"/>
      <c r="NRY37" s="759"/>
      <c r="NRZ37" s="759"/>
      <c r="NSA37" s="759"/>
      <c r="NSB37" s="759"/>
      <c r="NSC37" s="759"/>
      <c r="NSD37" s="759"/>
      <c r="NSE37" s="759"/>
      <c r="NSF37" s="759"/>
      <c r="NSG37" s="759"/>
      <c r="NSH37" s="759"/>
      <c r="NSI37" s="759"/>
      <c r="NSJ37" s="759"/>
      <c r="NSK37" s="759"/>
      <c r="NSL37" s="759"/>
      <c r="NSM37" s="759"/>
      <c r="NSN37" s="759"/>
      <c r="NSO37" s="759"/>
      <c r="NSP37" s="759"/>
      <c r="NSQ37" s="759"/>
      <c r="NSR37" s="759"/>
      <c r="NSS37" s="759"/>
      <c r="NST37" s="759"/>
      <c r="NSU37" s="759"/>
      <c r="NSV37" s="759"/>
      <c r="NSW37" s="759"/>
      <c r="NSX37" s="759"/>
      <c r="NSY37" s="759"/>
      <c r="NSZ37" s="759"/>
      <c r="NTA37" s="759"/>
      <c r="NTB37" s="759"/>
      <c r="NTC37" s="759"/>
      <c r="NTD37" s="759"/>
      <c r="NTE37" s="759"/>
      <c r="NTF37" s="759"/>
      <c r="NTG37" s="759"/>
      <c r="NTH37" s="759"/>
      <c r="NTI37" s="759"/>
      <c r="NTJ37" s="759"/>
      <c r="NTK37" s="759"/>
      <c r="NTL37" s="759"/>
      <c r="NTM37" s="759"/>
      <c r="NTN37" s="759"/>
      <c r="NTO37" s="759"/>
      <c r="NTP37" s="759"/>
      <c r="NTQ37" s="759"/>
      <c r="NTR37" s="759"/>
      <c r="NTS37" s="759"/>
      <c r="NTT37" s="759"/>
      <c r="NTU37" s="759"/>
      <c r="NTV37" s="759"/>
      <c r="NTW37" s="759"/>
      <c r="NTX37" s="759"/>
      <c r="NTY37" s="759"/>
      <c r="NTZ37" s="759"/>
      <c r="NUA37" s="759"/>
      <c r="NUB37" s="759"/>
      <c r="NUC37" s="759"/>
      <c r="NUD37" s="759"/>
      <c r="NUE37" s="759"/>
      <c r="NUF37" s="759"/>
      <c r="NUG37" s="759"/>
      <c r="NUH37" s="759"/>
      <c r="NUI37" s="759"/>
      <c r="NUJ37" s="759"/>
      <c r="NUK37" s="759"/>
      <c r="NUL37" s="759"/>
      <c r="NUM37" s="759"/>
      <c r="NUN37" s="759"/>
      <c r="NUO37" s="759"/>
      <c r="NUP37" s="759"/>
      <c r="NUQ37" s="759"/>
      <c r="NUR37" s="759"/>
      <c r="NUS37" s="759"/>
      <c r="NUT37" s="759"/>
      <c r="NUU37" s="759"/>
      <c r="NUV37" s="759"/>
      <c r="NUW37" s="759"/>
      <c r="NUX37" s="759"/>
      <c r="NUY37" s="759"/>
      <c r="NUZ37" s="759"/>
      <c r="NVA37" s="759"/>
      <c r="NVB37" s="759"/>
      <c r="NVC37" s="759"/>
      <c r="NVD37" s="759"/>
      <c r="NVE37" s="759"/>
      <c r="NVF37" s="759"/>
      <c r="NVG37" s="759"/>
      <c r="NVH37" s="759"/>
      <c r="NVI37" s="759"/>
      <c r="NVJ37" s="759"/>
      <c r="NVK37" s="759"/>
      <c r="NVL37" s="759"/>
      <c r="NVM37" s="759"/>
      <c r="NVN37" s="759"/>
      <c r="NVO37" s="759"/>
      <c r="NVP37" s="759"/>
      <c r="NVQ37" s="759"/>
      <c r="NVR37" s="759"/>
      <c r="NVS37" s="759"/>
      <c r="NVT37" s="759"/>
      <c r="NVU37" s="759"/>
      <c r="NVV37" s="759"/>
      <c r="NVW37" s="759"/>
      <c r="NVX37" s="759"/>
      <c r="NVY37" s="759"/>
      <c r="NVZ37" s="759"/>
      <c r="NWA37" s="759"/>
      <c r="NWB37" s="759"/>
      <c r="NWC37" s="759"/>
      <c r="NWD37" s="759"/>
      <c r="NWE37" s="759"/>
      <c r="NWF37" s="759"/>
      <c r="NWG37" s="759"/>
      <c r="NWH37" s="759"/>
      <c r="NWI37" s="759"/>
      <c r="NWJ37" s="759"/>
      <c r="NWK37" s="759"/>
      <c r="NWL37" s="759"/>
      <c r="NWM37" s="759"/>
      <c r="NWN37" s="759"/>
      <c r="NWO37" s="759"/>
      <c r="NWP37" s="759"/>
      <c r="NWQ37" s="759"/>
      <c r="NWR37" s="759"/>
      <c r="NWS37" s="759"/>
      <c r="NWT37" s="759"/>
      <c r="NWU37" s="759"/>
      <c r="NWV37" s="759"/>
      <c r="NWW37" s="759"/>
      <c r="NWX37" s="759"/>
      <c r="NWY37" s="759"/>
      <c r="NWZ37" s="759"/>
      <c r="NXA37" s="759"/>
      <c r="NXB37" s="759"/>
      <c r="NXC37" s="759"/>
      <c r="NXD37" s="759"/>
      <c r="NXE37" s="759"/>
      <c r="NXF37" s="759"/>
      <c r="NXG37" s="759"/>
      <c r="NXH37" s="759"/>
      <c r="NXI37" s="759"/>
      <c r="NXJ37" s="759"/>
      <c r="NXK37" s="759"/>
      <c r="NXL37" s="759"/>
      <c r="NXM37" s="759"/>
      <c r="NXN37" s="759"/>
      <c r="NXO37" s="759"/>
      <c r="NXP37" s="759"/>
      <c r="NXQ37" s="759"/>
      <c r="NXR37" s="759"/>
      <c r="NXS37" s="759"/>
      <c r="NXT37" s="759"/>
      <c r="NXU37" s="759"/>
      <c r="NXV37" s="759"/>
      <c r="NXW37" s="759"/>
      <c r="NXX37" s="759"/>
      <c r="NXY37" s="759"/>
      <c r="NXZ37" s="759"/>
      <c r="NYA37" s="759"/>
      <c r="NYB37" s="759"/>
      <c r="NYC37" s="759"/>
      <c r="NYD37" s="759"/>
      <c r="NYE37" s="759"/>
      <c r="NYF37" s="759"/>
      <c r="NYG37" s="759"/>
      <c r="NYH37" s="759"/>
      <c r="NYI37" s="759"/>
      <c r="NYJ37" s="759"/>
      <c r="NYK37" s="759"/>
      <c r="NYL37" s="759"/>
      <c r="NYM37" s="759"/>
      <c r="NYN37" s="759"/>
      <c r="NYO37" s="759"/>
      <c r="NYP37" s="759"/>
      <c r="NYQ37" s="759"/>
      <c r="NYR37" s="759"/>
      <c r="NYS37" s="759"/>
      <c r="NYT37" s="759"/>
      <c r="NYU37" s="759"/>
      <c r="NYV37" s="759"/>
      <c r="NYW37" s="759"/>
      <c r="NYX37" s="759"/>
      <c r="NYY37" s="759"/>
      <c r="NYZ37" s="759"/>
      <c r="NZA37" s="759"/>
      <c r="NZB37" s="759"/>
      <c r="NZC37" s="759"/>
      <c r="NZD37" s="759"/>
      <c r="NZE37" s="759"/>
      <c r="NZF37" s="759"/>
      <c r="NZG37" s="759"/>
      <c r="NZH37" s="759"/>
      <c r="NZI37" s="759"/>
      <c r="NZJ37" s="759"/>
      <c r="NZK37" s="759"/>
      <c r="NZL37" s="759"/>
      <c r="NZM37" s="759"/>
      <c r="NZN37" s="759"/>
      <c r="NZO37" s="759"/>
      <c r="NZP37" s="759"/>
      <c r="NZQ37" s="759"/>
      <c r="NZR37" s="759"/>
      <c r="NZS37" s="759"/>
      <c r="NZT37" s="759"/>
      <c r="NZU37" s="759"/>
      <c r="NZV37" s="759"/>
      <c r="NZW37" s="759"/>
      <c r="NZX37" s="759"/>
      <c r="NZY37" s="759"/>
      <c r="NZZ37" s="759"/>
      <c r="OAA37" s="759"/>
      <c r="OAB37" s="759"/>
      <c r="OAC37" s="759"/>
      <c r="OAD37" s="759"/>
      <c r="OAE37" s="759"/>
      <c r="OAF37" s="759"/>
      <c r="OAG37" s="759"/>
      <c r="OAH37" s="759"/>
      <c r="OAI37" s="759"/>
      <c r="OAJ37" s="759"/>
      <c r="OAK37" s="759"/>
      <c r="OAL37" s="759"/>
      <c r="OAM37" s="759"/>
      <c r="OAN37" s="759"/>
      <c r="OAO37" s="759"/>
      <c r="OAP37" s="759"/>
      <c r="OAQ37" s="759"/>
      <c r="OAR37" s="759"/>
      <c r="OAS37" s="759"/>
      <c r="OAT37" s="759"/>
      <c r="OAU37" s="759"/>
      <c r="OAV37" s="759"/>
      <c r="OAW37" s="759"/>
      <c r="OAX37" s="759"/>
      <c r="OAY37" s="759"/>
      <c r="OAZ37" s="759"/>
      <c r="OBA37" s="759"/>
      <c r="OBB37" s="759"/>
      <c r="OBC37" s="759"/>
      <c r="OBD37" s="759"/>
      <c r="OBE37" s="759"/>
      <c r="OBF37" s="759"/>
      <c r="OBG37" s="759"/>
      <c r="OBH37" s="759"/>
      <c r="OBI37" s="759"/>
      <c r="OBJ37" s="759"/>
      <c r="OBK37" s="759"/>
      <c r="OBL37" s="759"/>
      <c r="OBM37" s="759"/>
      <c r="OBN37" s="759"/>
      <c r="OBO37" s="759"/>
      <c r="OBP37" s="759"/>
      <c r="OBQ37" s="759"/>
      <c r="OBR37" s="759"/>
      <c r="OBS37" s="759"/>
      <c r="OBT37" s="759"/>
      <c r="OBU37" s="759"/>
      <c r="OBV37" s="759"/>
      <c r="OBW37" s="759"/>
      <c r="OBX37" s="759"/>
      <c r="OBY37" s="759"/>
      <c r="OBZ37" s="759"/>
      <c r="OCA37" s="759"/>
      <c r="OCB37" s="759"/>
      <c r="OCC37" s="759"/>
      <c r="OCD37" s="759"/>
      <c r="OCE37" s="759"/>
      <c r="OCF37" s="759"/>
      <c r="OCG37" s="759"/>
      <c r="OCH37" s="759"/>
      <c r="OCI37" s="759"/>
      <c r="OCJ37" s="759"/>
      <c r="OCK37" s="759"/>
      <c r="OCL37" s="759"/>
      <c r="OCM37" s="759"/>
      <c r="OCN37" s="759"/>
      <c r="OCO37" s="759"/>
      <c r="OCP37" s="759"/>
      <c r="OCQ37" s="759"/>
      <c r="OCR37" s="759"/>
      <c r="OCS37" s="759"/>
      <c r="OCT37" s="759"/>
      <c r="OCU37" s="759"/>
      <c r="OCV37" s="759"/>
      <c r="OCW37" s="759"/>
      <c r="OCX37" s="759"/>
      <c r="OCY37" s="759"/>
      <c r="OCZ37" s="759"/>
      <c r="ODA37" s="759"/>
      <c r="ODB37" s="759"/>
      <c r="ODC37" s="759"/>
      <c r="ODD37" s="759"/>
      <c r="ODE37" s="759"/>
      <c r="ODF37" s="759"/>
      <c r="ODG37" s="759"/>
      <c r="ODH37" s="759"/>
      <c r="ODI37" s="759"/>
      <c r="ODJ37" s="759"/>
      <c r="ODK37" s="759"/>
      <c r="ODL37" s="759"/>
      <c r="ODM37" s="759"/>
      <c r="ODN37" s="759"/>
      <c r="ODO37" s="759"/>
      <c r="ODP37" s="759"/>
      <c r="ODQ37" s="759"/>
      <c r="ODR37" s="759"/>
      <c r="ODS37" s="759"/>
      <c r="ODT37" s="759"/>
      <c r="ODU37" s="759"/>
      <c r="ODV37" s="759"/>
      <c r="ODW37" s="759"/>
      <c r="ODX37" s="759"/>
      <c r="ODY37" s="759"/>
      <c r="ODZ37" s="759"/>
      <c r="OEA37" s="759"/>
      <c r="OEB37" s="759"/>
      <c r="OEC37" s="759"/>
      <c r="OED37" s="759"/>
      <c r="OEE37" s="759"/>
      <c r="OEF37" s="759"/>
      <c r="OEG37" s="759"/>
      <c r="OEH37" s="759"/>
      <c r="OEI37" s="759"/>
      <c r="OEJ37" s="759"/>
      <c r="OEK37" s="759"/>
      <c r="OEL37" s="759"/>
      <c r="OEM37" s="759"/>
      <c r="OEN37" s="759"/>
      <c r="OEO37" s="759"/>
      <c r="OEP37" s="759"/>
      <c r="OEQ37" s="759"/>
      <c r="OER37" s="759"/>
      <c r="OES37" s="759"/>
      <c r="OET37" s="759"/>
      <c r="OEU37" s="759"/>
      <c r="OEV37" s="759"/>
      <c r="OEW37" s="759"/>
      <c r="OEX37" s="759"/>
      <c r="OEY37" s="759"/>
      <c r="OEZ37" s="759"/>
      <c r="OFA37" s="759"/>
      <c r="OFB37" s="759"/>
      <c r="OFC37" s="759"/>
      <c r="OFD37" s="759"/>
      <c r="OFE37" s="759"/>
      <c r="OFF37" s="759"/>
      <c r="OFG37" s="759"/>
      <c r="OFH37" s="759"/>
      <c r="OFI37" s="759"/>
      <c r="OFJ37" s="759"/>
      <c r="OFK37" s="759"/>
      <c r="OFL37" s="759"/>
      <c r="OFM37" s="759"/>
      <c r="OFN37" s="759"/>
      <c r="OFO37" s="759"/>
      <c r="OFP37" s="759"/>
      <c r="OFQ37" s="759"/>
      <c r="OFR37" s="759"/>
      <c r="OFS37" s="759"/>
      <c r="OFT37" s="759"/>
      <c r="OFU37" s="759"/>
      <c r="OFV37" s="759"/>
      <c r="OFW37" s="759"/>
      <c r="OFX37" s="759"/>
      <c r="OFY37" s="759"/>
      <c r="OFZ37" s="759"/>
      <c r="OGA37" s="759"/>
      <c r="OGB37" s="759"/>
      <c r="OGC37" s="759"/>
      <c r="OGD37" s="759"/>
      <c r="OGE37" s="759"/>
      <c r="OGF37" s="759"/>
      <c r="OGG37" s="759"/>
      <c r="OGH37" s="759"/>
      <c r="OGI37" s="759"/>
      <c r="OGJ37" s="759"/>
      <c r="OGK37" s="759"/>
      <c r="OGL37" s="759"/>
      <c r="OGM37" s="759"/>
      <c r="OGN37" s="759"/>
      <c r="OGO37" s="759"/>
      <c r="OGP37" s="759"/>
      <c r="OGQ37" s="759"/>
      <c r="OGR37" s="759"/>
      <c r="OGS37" s="759"/>
      <c r="OGT37" s="759"/>
      <c r="OGU37" s="759"/>
      <c r="OGV37" s="759"/>
      <c r="OGW37" s="759"/>
      <c r="OGX37" s="759"/>
      <c r="OGY37" s="759"/>
      <c r="OGZ37" s="759"/>
      <c r="OHA37" s="759"/>
      <c r="OHB37" s="759"/>
      <c r="OHC37" s="759"/>
      <c r="OHD37" s="759"/>
      <c r="OHE37" s="759"/>
      <c r="OHF37" s="759"/>
      <c r="OHG37" s="759"/>
      <c r="OHH37" s="759"/>
      <c r="OHI37" s="759"/>
      <c r="OHJ37" s="759"/>
      <c r="OHK37" s="759"/>
      <c r="OHL37" s="759"/>
      <c r="OHM37" s="759"/>
      <c r="OHN37" s="759"/>
      <c r="OHO37" s="759"/>
      <c r="OHP37" s="759"/>
      <c r="OHQ37" s="759"/>
      <c r="OHR37" s="759"/>
      <c r="OHS37" s="759"/>
      <c r="OHT37" s="759"/>
      <c r="OHU37" s="759"/>
      <c r="OHV37" s="759"/>
      <c r="OHW37" s="759"/>
      <c r="OHX37" s="759"/>
      <c r="OHY37" s="759"/>
      <c r="OHZ37" s="759"/>
      <c r="OIA37" s="759"/>
      <c r="OIB37" s="759"/>
      <c r="OIC37" s="759"/>
      <c r="OID37" s="759"/>
      <c r="OIE37" s="759"/>
      <c r="OIF37" s="759"/>
      <c r="OIG37" s="759"/>
      <c r="OIH37" s="759"/>
      <c r="OII37" s="759"/>
      <c r="OIJ37" s="759"/>
      <c r="OIK37" s="759"/>
      <c r="OIL37" s="759"/>
      <c r="OIM37" s="759"/>
      <c r="OIN37" s="759"/>
      <c r="OIO37" s="759"/>
      <c r="OIP37" s="759"/>
      <c r="OIQ37" s="759"/>
      <c r="OIR37" s="759"/>
      <c r="OIS37" s="759"/>
      <c r="OIT37" s="759"/>
      <c r="OIU37" s="759"/>
      <c r="OIV37" s="759"/>
      <c r="OIW37" s="759"/>
      <c r="OIX37" s="759"/>
      <c r="OIY37" s="759"/>
      <c r="OIZ37" s="759"/>
      <c r="OJA37" s="759"/>
      <c r="OJB37" s="759"/>
      <c r="OJC37" s="759"/>
      <c r="OJD37" s="759"/>
      <c r="OJE37" s="759"/>
      <c r="OJF37" s="759"/>
      <c r="OJG37" s="759"/>
      <c r="OJH37" s="759"/>
      <c r="OJI37" s="759"/>
      <c r="OJJ37" s="759"/>
      <c r="OJK37" s="759"/>
      <c r="OJL37" s="759"/>
      <c r="OJM37" s="759"/>
      <c r="OJN37" s="759"/>
      <c r="OJO37" s="759"/>
      <c r="OJP37" s="759"/>
      <c r="OJQ37" s="759"/>
      <c r="OJR37" s="759"/>
      <c r="OJS37" s="759"/>
      <c r="OJT37" s="759"/>
      <c r="OJU37" s="759"/>
      <c r="OJV37" s="759"/>
      <c r="OJW37" s="759"/>
      <c r="OJX37" s="759"/>
      <c r="OJY37" s="759"/>
      <c r="OJZ37" s="759"/>
      <c r="OKA37" s="759"/>
      <c r="OKB37" s="759"/>
      <c r="OKC37" s="759"/>
      <c r="OKD37" s="759"/>
      <c r="OKE37" s="759"/>
      <c r="OKF37" s="759"/>
      <c r="OKG37" s="759"/>
      <c r="OKH37" s="759"/>
      <c r="OKI37" s="759"/>
      <c r="OKJ37" s="759"/>
      <c r="OKK37" s="759"/>
      <c r="OKL37" s="759"/>
      <c r="OKM37" s="759"/>
      <c r="OKN37" s="759"/>
      <c r="OKO37" s="759"/>
      <c r="OKP37" s="759"/>
      <c r="OKQ37" s="759"/>
      <c r="OKR37" s="759"/>
      <c r="OKS37" s="759"/>
      <c r="OKT37" s="759"/>
      <c r="OKU37" s="759"/>
      <c r="OKV37" s="759"/>
      <c r="OKW37" s="759"/>
      <c r="OKX37" s="759"/>
      <c r="OKY37" s="759"/>
      <c r="OKZ37" s="759"/>
      <c r="OLA37" s="759"/>
      <c r="OLB37" s="759"/>
      <c r="OLC37" s="759"/>
      <c r="OLD37" s="759"/>
      <c r="OLE37" s="759"/>
      <c r="OLF37" s="759"/>
      <c r="OLG37" s="759"/>
      <c r="OLH37" s="759"/>
      <c r="OLI37" s="759"/>
      <c r="OLJ37" s="759"/>
      <c r="OLK37" s="759"/>
      <c r="OLL37" s="759"/>
      <c r="OLM37" s="759"/>
      <c r="OLN37" s="759"/>
      <c r="OLO37" s="759"/>
      <c r="OLP37" s="759"/>
      <c r="OLQ37" s="759"/>
      <c r="OLR37" s="759"/>
      <c r="OLS37" s="759"/>
      <c r="OLT37" s="759"/>
      <c r="OLU37" s="759"/>
      <c r="OLV37" s="759"/>
      <c r="OLW37" s="759"/>
      <c r="OLX37" s="759"/>
      <c r="OLY37" s="759"/>
      <c r="OLZ37" s="759"/>
      <c r="OMA37" s="759"/>
      <c r="OMB37" s="759"/>
      <c r="OMC37" s="759"/>
      <c r="OMD37" s="759"/>
      <c r="OME37" s="759"/>
      <c r="OMF37" s="759"/>
      <c r="OMG37" s="759"/>
      <c r="OMH37" s="759"/>
      <c r="OMI37" s="759"/>
      <c r="OMJ37" s="759"/>
      <c r="OMK37" s="759"/>
      <c r="OML37" s="759"/>
      <c r="OMM37" s="759"/>
      <c r="OMN37" s="759"/>
      <c r="OMO37" s="759"/>
      <c r="OMP37" s="759"/>
      <c r="OMQ37" s="759"/>
      <c r="OMR37" s="759"/>
      <c r="OMS37" s="759"/>
      <c r="OMT37" s="759"/>
      <c r="OMU37" s="759"/>
      <c r="OMV37" s="759"/>
      <c r="OMW37" s="759"/>
      <c r="OMX37" s="759"/>
      <c r="OMY37" s="759"/>
      <c r="OMZ37" s="759"/>
      <c r="ONA37" s="759"/>
      <c r="ONB37" s="759"/>
      <c r="ONC37" s="759"/>
      <c r="OND37" s="759"/>
      <c r="ONE37" s="759"/>
      <c r="ONF37" s="759"/>
      <c r="ONG37" s="759"/>
      <c r="ONH37" s="759"/>
      <c r="ONI37" s="759"/>
      <c r="ONJ37" s="759"/>
      <c r="ONK37" s="759"/>
      <c r="ONL37" s="759"/>
      <c r="ONM37" s="759"/>
      <c r="ONN37" s="759"/>
      <c r="ONO37" s="759"/>
      <c r="ONP37" s="759"/>
      <c r="ONQ37" s="759"/>
      <c r="ONR37" s="759"/>
      <c r="ONS37" s="759"/>
      <c r="ONT37" s="759"/>
      <c r="ONU37" s="759"/>
      <c r="ONV37" s="759"/>
      <c r="ONW37" s="759"/>
      <c r="ONX37" s="759"/>
      <c r="ONY37" s="759"/>
      <c r="ONZ37" s="759"/>
      <c r="OOA37" s="759"/>
      <c r="OOB37" s="759"/>
      <c r="OOC37" s="759"/>
      <c r="OOD37" s="759"/>
      <c r="OOE37" s="759"/>
      <c r="OOF37" s="759"/>
      <c r="OOG37" s="759"/>
      <c r="OOH37" s="759"/>
      <c r="OOI37" s="759"/>
      <c r="OOJ37" s="759"/>
      <c r="OOK37" s="759"/>
      <c r="OOL37" s="759"/>
      <c r="OOM37" s="759"/>
      <c r="OON37" s="759"/>
      <c r="OOO37" s="759"/>
      <c r="OOP37" s="759"/>
      <c r="OOQ37" s="759"/>
      <c r="OOR37" s="759"/>
      <c r="OOS37" s="759"/>
      <c r="OOT37" s="759"/>
      <c r="OOU37" s="759"/>
      <c r="OOV37" s="759"/>
      <c r="OOW37" s="759"/>
      <c r="OOX37" s="759"/>
      <c r="OOY37" s="759"/>
      <c r="OOZ37" s="759"/>
      <c r="OPA37" s="759"/>
      <c r="OPB37" s="759"/>
      <c r="OPC37" s="759"/>
      <c r="OPD37" s="759"/>
      <c r="OPE37" s="759"/>
      <c r="OPF37" s="759"/>
      <c r="OPG37" s="759"/>
      <c r="OPH37" s="759"/>
      <c r="OPI37" s="759"/>
      <c r="OPJ37" s="759"/>
      <c r="OPK37" s="759"/>
      <c r="OPL37" s="759"/>
      <c r="OPM37" s="759"/>
      <c r="OPN37" s="759"/>
      <c r="OPO37" s="759"/>
      <c r="OPP37" s="759"/>
      <c r="OPQ37" s="759"/>
      <c r="OPR37" s="759"/>
      <c r="OPS37" s="759"/>
      <c r="OPT37" s="759"/>
      <c r="OPU37" s="759"/>
      <c r="OPV37" s="759"/>
      <c r="OPW37" s="759"/>
      <c r="OPX37" s="759"/>
      <c r="OPY37" s="759"/>
      <c r="OPZ37" s="759"/>
      <c r="OQA37" s="759"/>
      <c r="OQB37" s="759"/>
      <c r="OQC37" s="759"/>
      <c r="OQD37" s="759"/>
      <c r="OQE37" s="759"/>
      <c r="OQF37" s="759"/>
      <c r="OQG37" s="759"/>
      <c r="OQH37" s="759"/>
      <c r="OQI37" s="759"/>
      <c r="OQJ37" s="759"/>
      <c r="OQK37" s="759"/>
      <c r="OQL37" s="759"/>
      <c r="OQM37" s="759"/>
      <c r="OQN37" s="759"/>
      <c r="OQO37" s="759"/>
      <c r="OQP37" s="759"/>
      <c r="OQQ37" s="759"/>
      <c r="OQR37" s="759"/>
      <c r="OQS37" s="759"/>
      <c r="OQT37" s="759"/>
      <c r="OQU37" s="759"/>
      <c r="OQV37" s="759"/>
      <c r="OQW37" s="759"/>
      <c r="OQX37" s="759"/>
      <c r="OQY37" s="759"/>
      <c r="OQZ37" s="759"/>
      <c r="ORA37" s="759"/>
      <c r="ORB37" s="759"/>
      <c r="ORC37" s="759"/>
      <c r="ORD37" s="759"/>
      <c r="ORE37" s="759"/>
      <c r="ORF37" s="759"/>
      <c r="ORG37" s="759"/>
      <c r="ORH37" s="759"/>
      <c r="ORI37" s="759"/>
      <c r="ORJ37" s="759"/>
      <c r="ORK37" s="759"/>
      <c r="ORL37" s="759"/>
      <c r="ORM37" s="759"/>
      <c r="ORN37" s="759"/>
      <c r="ORO37" s="759"/>
      <c r="ORP37" s="759"/>
      <c r="ORQ37" s="759"/>
      <c r="ORR37" s="759"/>
      <c r="ORS37" s="759"/>
      <c r="ORT37" s="759"/>
      <c r="ORU37" s="759"/>
      <c r="ORV37" s="759"/>
      <c r="ORW37" s="759"/>
      <c r="ORX37" s="759"/>
      <c r="ORY37" s="759"/>
      <c r="ORZ37" s="759"/>
      <c r="OSA37" s="759"/>
      <c r="OSB37" s="759"/>
      <c r="OSC37" s="759"/>
      <c r="OSD37" s="759"/>
      <c r="OSE37" s="759"/>
      <c r="OSF37" s="759"/>
      <c r="OSG37" s="759"/>
      <c r="OSH37" s="759"/>
      <c r="OSI37" s="759"/>
      <c r="OSJ37" s="759"/>
      <c r="OSK37" s="759"/>
      <c r="OSL37" s="759"/>
      <c r="OSM37" s="759"/>
      <c r="OSN37" s="759"/>
      <c r="OSO37" s="759"/>
      <c r="OSP37" s="759"/>
      <c r="OSQ37" s="759"/>
      <c r="OSR37" s="759"/>
      <c r="OSS37" s="759"/>
      <c r="OST37" s="759"/>
      <c r="OSU37" s="759"/>
      <c r="OSV37" s="759"/>
      <c r="OSW37" s="759"/>
      <c r="OSX37" s="759"/>
      <c r="OSY37" s="759"/>
      <c r="OSZ37" s="759"/>
      <c r="OTA37" s="759"/>
      <c r="OTB37" s="759"/>
      <c r="OTC37" s="759"/>
      <c r="OTD37" s="759"/>
      <c r="OTE37" s="759"/>
      <c r="OTF37" s="759"/>
      <c r="OTG37" s="759"/>
      <c r="OTH37" s="759"/>
      <c r="OTI37" s="759"/>
      <c r="OTJ37" s="759"/>
      <c r="OTK37" s="759"/>
      <c r="OTL37" s="759"/>
      <c r="OTM37" s="759"/>
      <c r="OTN37" s="759"/>
      <c r="OTO37" s="759"/>
      <c r="OTP37" s="759"/>
      <c r="OTQ37" s="759"/>
      <c r="OTR37" s="759"/>
      <c r="OTS37" s="759"/>
      <c r="OTT37" s="759"/>
      <c r="OTU37" s="759"/>
      <c r="OTV37" s="759"/>
      <c r="OTW37" s="759"/>
      <c r="OTX37" s="759"/>
      <c r="OTY37" s="759"/>
      <c r="OTZ37" s="759"/>
      <c r="OUA37" s="759"/>
      <c r="OUB37" s="759"/>
      <c r="OUC37" s="759"/>
      <c r="OUD37" s="759"/>
      <c r="OUE37" s="759"/>
      <c r="OUF37" s="759"/>
      <c r="OUG37" s="759"/>
      <c r="OUH37" s="759"/>
      <c r="OUI37" s="759"/>
      <c r="OUJ37" s="759"/>
      <c r="OUK37" s="759"/>
      <c r="OUL37" s="759"/>
      <c r="OUM37" s="759"/>
      <c r="OUN37" s="759"/>
      <c r="OUO37" s="759"/>
      <c r="OUP37" s="759"/>
      <c r="OUQ37" s="759"/>
      <c r="OUR37" s="759"/>
      <c r="OUS37" s="759"/>
      <c r="OUT37" s="759"/>
      <c r="OUU37" s="759"/>
      <c r="OUV37" s="759"/>
      <c r="OUW37" s="759"/>
      <c r="OUX37" s="759"/>
      <c r="OUY37" s="759"/>
      <c r="OUZ37" s="759"/>
      <c r="OVA37" s="759"/>
      <c r="OVB37" s="759"/>
      <c r="OVC37" s="759"/>
      <c r="OVD37" s="759"/>
      <c r="OVE37" s="759"/>
      <c r="OVF37" s="759"/>
      <c r="OVG37" s="759"/>
      <c r="OVH37" s="759"/>
      <c r="OVI37" s="759"/>
      <c r="OVJ37" s="759"/>
      <c r="OVK37" s="759"/>
      <c r="OVL37" s="759"/>
      <c r="OVM37" s="759"/>
      <c r="OVN37" s="759"/>
      <c r="OVO37" s="759"/>
      <c r="OVP37" s="759"/>
      <c r="OVQ37" s="759"/>
      <c r="OVR37" s="759"/>
      <c r="OVS37" s="759"/>
      <c r="OVT37" s="759"/>
      <c r="OVU37" s="759"/>
      <c r="OVV37" s="759"/>
      <c r="OVW37" s="759"/>
      <c r="OVX37" s="759"/>
      <c r="OVY37" s="759"/>
      <c r="OVZ37" s="759"/>
      <c r="OWA37" s="759"/>
      <c r="OWB37" s="759"/>
      <c r="OWC37" s="759"/>
      <c r="OWD37" s="759"/>
      <c r="OWE37" s="759"/>
      <c r="OWF37" s="759"/>
      <c r="OWG37" s="759"/>
      <c r="OWH37" s="759"/>
      <c r="OWI37" s="759"/>
      <c r="OWJ37" s="759"/>
      <c r="OWK37" s="759"/>
      <c r="OWL37" s="759"/>
      <c r="OWM37" s="759"/>
      <c r="OWN37" s="759"/>
      <c r="OWO37" s="759"/>
      <c r="OWP37" s="759"/>
      <c r="OWQ37" s="759"/>
      <c r="OWR37" s="759"/>
      <c r="OWS37" s="759"/>
      <c r="OWT37" s="759"/>
      <c r="OWU37" s="759"/>
      <c r="OWV37" s="759"/>
      <c r="OWW37" s="759"/>
      <c r="OWX37" s="759"/>
      <c r="OWY37" s="759"/>
      <c r="OWZ37" s="759"/>
      <c r="OXA37" s="759"/>
      <c r="OXB37" s="759"/>
      <c r="OXC37" s="759"/>
      <c r="OXD37" s="759"/>
      <c r="OXE37" s="759"/>
      <c r="OXF37" s="759"/>
      <c r="OXG37" s="759"/>
      <c r="OXH37" s="759"/>
      <c r="OXI37" s="759"/>
      <c r="OXJ37" s="759"/>
      <c r="OXK37" s="759"/>
      <c r="OXL37" s="759"/>
      <c r="OXM37" s="759"/>
      <c r="OXN37" s="759"/>
      <c r="OXO37" s="759"/>
      <c r="OXP37" s="759"/>
      <c r="OXQ37" s="759"/>
      <c r="OXR37" s="759"/>
      <c r="OXS37" s="759"/>
      <c r="OXT37" s="759"/>
      <c r="OXU37" s="759"/>
      <c r="OXV37" s="759"/>
      <c r="OXW37" s="759"/>
      <c r="OXX37" s="759"/>
      <c r="OXY37" s="759"/>
      <c r="OXZ37" s="759"/>
      <c r="OYA37" s="759"/>
      <c r="OYB37" s="759"/>
      <c r="OYC37" s="759"/>
      <c r="OYD37" s="759"/>
      <c r="OYE37" s="759"/>
      <c r="OYF37" s="759"/>
      <c r="OYG37" s="759"/>
      <c r="OYH37" s="759"/>
      <c r="OYI37" s="759"/>
      <c r="OYJ37" s="759"/>
      <c r="OYK37" s="759"/>
      <c r="OYL37" s="759"/>
      <c r="OYM37" s="759"/>
      <c r="OYN37" s="759"/>
      <c r="OYO37" s="759"/>
      <c r="OYP37" s="759"/>
      <c r="OYQ37" s="759"/>
      <c r="OYR37" s="759"/>
      <c r="OYS37" s="759"/>
      <c r="OYT37" s="759"/>
      <c r="OYU37" s="759"/>
      <c r="OYV37" s="759"/>
      <c r="OYW37" s="759"/>
      <c r="OYX37" s="759"/>
      <c r="OYY37" s="759"/>
      <c r="OYZ37" s="759"/>
      <c r="OZA37" s="759"/>
      <c r="OZB37" s="759"/>
      <c r="OZC37" s="759"/>
      <c r="OZD37" s="759"/>
      <c r="OZE37" s="759"/>
      <c r="OZF37" s="759"/>
      <c r="OZG37" s="759"/>
      <c r="OZH37" s="759"/>
      <c r="OZI37" s="759"/>
      <c r="OZJ37" s="759"/>
      <c r="OZK37" s="759"/>
      <c r="OZL37" s="759"/>
      <c r="OZM37" s="759"/>
      <c r="OZN37" s="759"/>
      <c r="OZO37" s="759"/>
      <c r="OZP37" s="759"/>
      <c r="OZQ37" s="759"/>
      <c r="OZR37" s="759"/>
      <c r="OZS37" s="759"/>
      <c r="OZT37" s="759"/>
      <c r="OZU37" s="759"/>
      <c r="OZV37" s="759"/>
      <c r="OZW37" s="759"/>
      <c r="OZX37" s="759"/>
      <c r="OZY37" s="759"/>
      <c r="OZZ37" s="759"/>
      <c r="PAA37" s="759"/>
      <c r="PAB37" s="759"/>
      <c r="PAC37" s="759"/>
      <c r="PAD37" s="759"/>
      <c r="PAE37" s="759"/>
      <c r="PAF37" s="759"/>
      <c r="PAG37" s="759"/>
      <c r="PAH37" s="759"/>
      <c r="PAI37" s="759"/>
      <c r="PAJ37" s="759"/>
      <c r="PAK37" s="759"/>
      <c r="PAL37" s="759"/>
      <c r="PAM37" s="759"/>
      <c r="PAN37" s="759"/>
      <c r="PAO37" s="759"/>
      <c r="PAP37" s="759"/>
      <c r="PAQ37" s="759"/>
      <c r="PAR37" s="759"/>
      <c r="PAS37" s="759"/>
      <c r="PAT37" s="759"/>
      <c r="PAU37" s="759"/>
      <c r="PAV37" s="759"/>
      <c r="PAW37" s="759"/>
      <c r="PAX37" s="759"/>
      <c r="PAY37" s="759"/>
      <c r="PAZ37" s="759"/>
      <c r="PBA37" s="759"/>
      <c r="PBB37" s="759"/>
      <c r="PBC37" s="759"/>
      <c r="PBD37" s="759"/>
      <c r="PBE37" s="759"/>
      <c r="PBF37" s="759"/>
      <c r="PBG37" s="759"/>
      <c r="PBH37" s="759"/>
      <c r="PBI37" s="759"/>
      <c r="PBJ37" s="759"/>
      <c r="PBK37" s="759"/>
      <c r="PBL37" s="759"/>
      <c r="PBM37" s="759"/>
      <c r="PBN37" s="759"/>
      <c r="PBO37" s="759"/>
      <c r="PBP37" s="759"/>
      <c r="PBQ37" s="759"/>
      <c r="PBR37" s="759"/>
      <c r="PBS37" s="759"/>
      <c r="PBT37" s="759"/>
      <c r="PBU37" s="759"/>
      <c r="PBV37" s="759"/>
      <c r="PBW37" s="759"/>
      <c r="PBX37" s="759"/>
      <c r="PBY37" s="759"/>
      <c r="PBZ37" s="759"/>
      <c r="PCA37" s="759"/>
      <c r="PCB37" s="759"/>
      <c r="PCC37" s="759"/>
      <c r="PCD37" s="759"/>
      <c r="PCE37" s="759"/>
      <c r="PCF37" s="759"/>
      <c r="PCG37" s="759"/>
      <c r="PCH37" s="759"/>
      <c r="PCI37" s="759"/>
      <c r="PCJ37" s="759"/>
      <c r="PCK37" s="759"/>
      <c r="PCL37" s="759"/>
      <c r="PCM37" s="759"/>
      <c r="PCN37" s="759"/>
      <c r="PCO37" s="759"/>
      <c r="PCP37" s="759"/>
      <c r="PCQ37" s="759"/>
      <c r="PCR37" s="759"/>
      <c r="PCS37" s="759"/>
      <c r="PCT37" s="759"/>
      <c r="PCU37" s="759"/>
      <c r="PCV37" s="759"/>
      <c r="PCW37" s="759"/>
      <c r="PCX37" s="759"/>
      <c r="PCY37" s="759"/>
      <c r="PCZ37" s="759"/>
      <c r="PDA37" s="759"/>
      <c r="PDB37" s="759"/>
      <c r="PDC37" s="759"/>
      <c r="PDD37" s="759"/>
      <c r="PDE37" s="759"/>
      <c r="PDF37" s="759"/>
      <c r="PDG37" s="759"/>
      <c r="PDH37" s="759"/>
      <c r="PDI37" s="759"/>
      <c r="PDJ37" s="759"/>
      <c r="PDK37" s="759"/>
      <c r="PDL37" s="759"/>
      <c r="PDM37" s="759"/>
      <c r="PDN37" s="759"/>
      <c r="PDO37" s="759"/>
      <c r="PDP37" s="759"/>
      <c r="PDQ37" s="759"/>
      <c r="PDR37" s="759"/>
      <c r="PDS37" s="759"/>
      <c r="PDT37" s="759"/>
      <c r="PDU37" s="759"/>
      <c r="PDV37" s="759"/>
      <c r="PDW37" s="759"/>
      <c r="PDX37" s="759"/>
      <c r="PDY37" s="759"/>
      <c r="PDZ37" s="759"/>
      <c r="PEA37" s="759"/>
      <c r="PEB37" s="759"/>
      <c r="PEC37" s="759"/>
      <c r="PED37" s="759"/>
      <c r="PEE37" s="759"/>
      <c r="PEF37" s="759"/>
      <c r="PEG37" s="759"/>
      <c r="PEH37" s="759"/>
      <c r="PEI37" s="759"/>
      <c r="PEJ37" s="759"/>
      <c r="PEK37" s="759"/>
      <c r="PEL37" s="759"/>
      <c r="PEM37" s="759"/>
      <c r="PEN37" s="759"/>
      <c r="PEO37" s="759"/>
      <c r="PEP37" s="759"/>
      <c r="PEQ37" s="759"/>
      <c r="PER37" s="759"/>
      <c r="PES37" s="759"/>
      <c r="PET37" s="759"/>
      <c r="PEU37" s="759"/>
      <c r="PEV37" s="759"/>
      <c r="PEW37" s="759"/>
      <c r="PEX37" s="759"/>
      <c r="PEY37" s="759"/>
      <c r="PEZ37" s="759"/>
      <c r="PFA37" s="759"/>
      <c r="PFB37" s="759"/>
      <c r="PFC37" s="759"/>
      <c r="PFD37" s="759"/>
      <c r="PFE37" s="759"/>
      <c r="PFF37" s="759"/>
      <c r="PFG37" s="759"/>
      <c r="PFH37" s="759"/>
      <c r="PFI37" s="759"/>
      <c r="PFJ37" s="759"/>
      <c r="PFK37" s="759"/>
      <c r="PFL37" s="759"/>
      <c r="PFM37" s="759"/>
      <c r="PFN37" s="759"/>
      <c r="PFO37" s="759"/>
      <c r="PFP37" s="759"/>
      <c r="PFQ37" s="759"/>
      <c r="PFR37" s="759"/>
      <c r="PFS37" s="759"/>
      <c r="PFT37" s="759"/>
      <c r="PFU37" s="759"/>
      <c r="PFV37" s="759"/>
      <c r="PFW37" s="759"/>
      <c r="PFX37" s="759"/>
      <c r="PFY37" s="759"/>
      <c r="PFZ37" s="759"/>
      <c r="PGA37" s="759"/>
      <c r="PGB37" s="759"/>
      <c r="PGC37" s="759"/>
      <c r="PGD37" s="759"/>
      <c r="PGE37" s="759"/>
      <c r="PGF37" s="759"/>
      <c r="PGG37" s="759"/>
      <c r="PGH37" s="759"/>
      <c r="PGI37" s="759"/>
      <c r="PGJ37" s="759"/>
      <c r="PGK37" s="759"/>
      <c r="PGL37" s="759"/>
      <c r="PGM37" s="759"/>
      <c r="PGN37" s="759"/>
      <c r="PGO37" s="759"/>
      <c r="PGP37" s="759"/>
      <c r="PGQ37" s="759"/>
      <c r="PGR37" s="759"/>
      <c r="PGS37" s="759"/>
      <c r="PGT37" s="759"/>
      <c r="PGU37" s="759"/>
      <c r="PGV37" s="759"/>
      <c r="PGW37" s="759"/>
      <c r="PGX37" s="759"/>
      <c r="PGY37" s="759"/>
      <c r="PGZ37" s="759"/>
      <c r="PHA37" s="759"/>
      <c r="PHB37" s="759"/>
      <c r="PHC37" s="759"/>
      <c r="PHD37" s="759"/>
      <c r="PHE37" s="759"/>
      <c r="PHF37" s="759"/>
      <c r="PHG37" s="759"/>
      <c r="PHH37" s="759"/>
      <c r="PHI37" s="759"/>
      <c r="PHJ37" s="759"/>
      <c r="PHK37" s="759"/>
      <c r="PHL37" s="759"/>
      <c r="PHM37" s="759"/>
      <c r="PHN37" s="759"/>
      <c r="PHO37" s="759"/>
      <c r="PHP37" s="759"/>
      <c r="PHQ37" s="759"/>
      <c r="PHR37" s="759"/>
      <c r="PHS37" s="759"/>
      <c r="PHT37" s="759"/>
      <c r="PHU37" s="759"/>
      <c r="PHV37" s="759"/>
      <c r="PHW37" s="759"/>
      <c r="PHX37" s="759"/>
      <c r="PHY37" s="759"/>
      <c r="PHZ37" s="759"/>
      <c r="PIA37" s="759"/>
      <c r="PIB37" s="759"/>
      <c r="PIC37" s="759"/>
      <c r="PID37" s="759"/>
      <c r="PIE37" s="759"/>
      <c r="PIF37" s="759"/>
      <c r="PIG37" s="759"/>
      <c r="PIH37" s="759"/>
      <c r="PII37" s="759"/>
      <c r="PIJ37" s="759"/>
      <c r="PIK37" s="759"/>
      <c r="PIL37" s="759"/>
      <c r="PIM37" s="759"/>
      <c r="PIN37" s="759"/>
      <c r="PIO37" s="759"/>
      <c r="PIP37" s="759"/>
      <c r="PIQ37" s="759"/>
      <c r="PIR37" s="759"/>
      <c r="PIS37" s="759"/>
      <c r="PIT37" s="759"/>
      <c r="PIU37" s="759"/>
      <c r="PIV37" s="759"/>
      <c r="PIW37" s="759"/>
      <c r="PIX37" s="759"/>
      <c r="PIY37" s="759"/>
      <c r="PIZ37" s="759"/>
      <c r="PJA37" s="759"/>
      <c r="PJB37" s="759"/>
      <c r="PJC37" s="759"/>
      <c r="PJD37" s="759"/>
      <c r="PJE37" s="759"/>
      <c r="PJF37" s="759"/>
      <c r="PJG37" s="759"/>
      <c r="PJH37" s="759"/>
      <c r="PJI37" s="759"/>
      <c r="PJJ37" s="759"/>
      <c r="PJK37" s="759"/>
      <c r="PJL37" s="759"/>
      <c r="PJM37" s="759"/>
      <c r="PJN37" s="759"/>
      <c r="PJO37" s="759"/>
      <c r="PJP37" s="759"/>
      <c r="PJQ37" s="759"/>
      <c r="PJR37" s="759"/>
      <c r="PJS37" s="759"/>
      <c r="PJT37" s="759"/>
      <c r="PJU37" s="759"/>
      <c r="PJV37" s="759"/>
      <c r="PJW37" s="759"/>
      <c r="PJX37" s="759"/>
      <c r="PJY37" s="759"/>
      <c r="PJZ37" s="759"/>
      <c r="PKA37" s="759"/>
      <c r="PKB37" s="759"/>
      <c r="PKC37" s="759"/>
      <c r="PKD37" s="759"/>
      <c r="PKE37" s="759"/>
      <c r="PKF37" s="759"/>
      <c r="PKG37" s="759"/>
      <c r="PKH37" s="759"/>
      <c r="PKI37" s="759"/>
      <c r="PKJ37" s="759"/>
      <c r="PKK37" s="759"/>
      <c r="PKL37" s="759"/>
      <c r="PKM37" s="759"/>
      <c r="PKN37" s="759"/>
      <c r="PKO37" s="759"/>
      <c r="PKP37" s="759"/>
      <c r="PKQ37" s="759"/>
      <c r="PKR37" s="759"/>
      <c r="PKS37" s="759"/>
      <c r="PKT37" s="759"/>
      <c r="PKU37" s="759"/>
      <c r="PKV37" s="759"/>
      <c r="PKW37" s="759"/>
      <c r="PKX37" s="759"/>
      <c r="PKY37" s="759"/>
      <c r="PKZ37" s="759"/>
      <c r="PLA37" s="759"/>
      <c r="PLB37" s="759"/>
      <c r="PLC37" s="759"/>
      <c r="PLD37" s="759"/>
      <c r="PLE37" s="759"/>
      <c r="PLF37" s="759"/>
      <c r="PLG37" s="759"/>
      <c r="PLH37" s="759"/>
      <c r="PLI37" s="759"/>
      <c r="PLJ37" s="759"/>
      <c r="PLK37" s="759"/>
      <c r="PLL37" s="759"/>
      <c r="PLM37" s="759"/>
      <c r="PLN37" s="759"/>
      <c r="PLO37" s="759"/>
      <c r="PLP37" s="759"/>
      <c r="PLQ37" s="759"/>
      <c r="PLR37" s="759"/>
      <c r="PLS37" s="759"/>
      <c r="PLT37" s="759"/>
      <c r="PLU37" s="759"/>
      <c r="PLV37" s="759"/>
      <c r="PLW37" s="759"/>
      <c r="PLX37" s="759"/>
      <c r="PLY37" s="759"/>
      <c r="PLZ37" s="759"/>
      <c r="PMA37" s="759"/>
      <c r="PMB37" s="759"/>
      <c r="PMC37" s="759"/>
      <c r="PMD37" s="759"/>
      <c r="PME37" s="759"/>
      <c r="PMF37" s="759"/>
      <c r="PMG37" s="759"/>
      <c r="PMH37" s="759"/>
      <c r="PMI37" s="759"/>
      <c r="PMJ37" s="759"/>
      <c r="PMK37" s="759"/>
      <c r="PML37" s="759"/>
      <c r="PMM37" s="759"/>
      <c r="PMN37" s="759"/>
      <c r="PMO37" s="759"/>
      <c r="PMP37" s="759"/>
      <c r="PMQ37" s="759"/>
      <c r="PMR37" s="759"/>
      <c r="PMS37" s="759"/>
      <c r="PMT37" s="759"/>
      <c r="PMU37" s="759"/>
      <c r="PMV37" s="759"/>
      <c r="PMW37" s="759"/>
      <c r="PMX37" s="759"/>
      <c r="PMY37" s="759"/>
      <c r="PMZ37" s="759"/>
      <c r="PNA37" s="759"/>
      <c r="PNB37" s="759"/>
      <c r="PNC37" s="759"/>
      <c r="PND37" s="759"/>
      <c r="PNE37" s="759"/>
      <c r="PNF37" s="759"/>
      <c r="PNG37" s="759"/>
      <c r="PNH37" s="759"/>
      <c r="PNI37" s="759"/>
      <c r="PNJ37" s="759"/>
      <c r="PNK37" s="759"/>
      <c r="PNL37" s="759"/>
      <c r="PNM37" s="759"/>
      <c r="PNN37" s="759"/>
      <c r="PNO37" s="759"/>
      <c r="PNP37" s="759"/>
      <c r="PNQ37" s="759"/>
      <c r="PNR37" s="759"/>
      <c r="PNS37" s="759"/>
      <c r="PNT37" s="759"/>
      <c r="PNU37" s="759"/>
      <c r="PNV37" s="759"/>
      <c r="PNW37" s="759"/>
      <c r="PNX37" s="759"/>
      <c r="PNY37" s="759"/>
      <c r="PNZ37" s="759"/>
      <c r="POA37" s="759"/>
      <c r="POB37" s="759"/>
      <c r="POC37" s="759"/>
      <c r="POD37" s="759"/>
      <c r="POE37" s="759"/>
      <c r="POF37" s="759"/>
      <c r="POG37" s="759"/>
      <c r="POH37" s="759"/>
      <c r="POI37" s="759"/>
      <c r="POJ37" s="759"/>
      <c r="POK37" s="759"/>
      <c r="POL37" s="759"/>
      <c r="POM37" s="759"/>
      <c r="PON37" s="759"/>
      <c r="POO37" s="759"/>
      <c r="POP37" s="759"/>
      <c r="POQ37" s="759"/>
      <c r="POR37" s="759"/>
      <c r="POS37" s="759"/>
      <c r="POT37" s="759"/>
      <c r="POU37" s="759"/>
      <c r="POV37" s="759"/>
      <c r="POW37" s="759"/>
      <c r="POX37" s="759"/>
      <c r="POY37" s="759"/>
      <c r="POZ37" s="759"/>
      <c r="PPA37" s="759"/>
      <c r="PPB37" s="759"/>
      <c r="PPC37" s="759"/>
      <c r="PPD37" s="759"/>
      <c r="PPE37" s="759"/>
      <c r="PPF37" s="759"/>
      <c r="PPG37" s="759"/>
      <c r="PPH37" s="759"/>
      <c r="PPI37" s="759"/>
      <c r="PPJ37" s="759"/>
      <c r="PPK37" s="759"/>
      <c r="PPL37" s="759"/>
      <c r="PPM37" s="759"/>
      <c r="PPN37" s="759"/>
      <c r="PPO37" s="759"/>
      <c r="PPP37" s="759"/>
      <c r="PPQ37" s="759"/>
      <c r="PPR37" s="759"/>
      <c r="PPS37" s="759"/>
      <c r="PPT37" s="759"/>
      <c r="PPU37" s="759"/>
      <c r="PPV37" s="759"/>
      <c r="PPW37" s="759"/>
      <c r="PPX37" s="759"/>
      <c r="PPY37" s="759"/>
      <c r="PPZ37" s="759"/>
      <c r="PQA37" s="759"/>
      <c r="PQB37" s="759"/>
      <c r="PQC37" s="759"/>
      <c r="PQD37" s="759"/>
      <c r="PQE37" s="759"/>
      <c r="PQF37" s="759"/>
      <c r="PQG37" s="759"/>
      <c r="PQH37" s="759"/>
      <c r="PQI37" s="759"/>
      <c r="PQJ37" s="759"/>
      <c r="PQK37" s="759"/>
      <c r="PQL37" s="759"/>
      <c r="PQM37" s="759"/>
      <c r="PQN37" s="759"/>
      <c r="PQO37" s="759"/>
      <c r="PQP37" s="759"/>
      <c r="PQQ37" s="759"/>
      <c r="PQR37" s="759"/>
      <c r="PQS37" s="759"/>
      <c r="PQT37" s="759"/>
      <c r="PQU37" s="759"/>
      <c r="PQV37" s="759"/>
      <c r="PQW37" s="759"/>
      <c r="PQX37" s="759"/>
      <c r="PQY37" s="759"/>
      <c r="PQZ37" s="759"/>
      <c r="PRA37" s="759"/>
      <c r="PRB37" s="759"/>
      <c r="PRC37" s="759"/>
      <c r="PRD37" s="759"/>
      <c r="PRE37" s="759"/>
      <c r="PRF37" s="759"/>
      <c r="PRG37" s="759"/>
      <c r="PRH37" s="759"/>
      <c r="PRI37" s="759"/>
      <c r="PRJ37" s="759"/>
      <c r="PRK37" s="759"/>
      <c r="PRL37" s="759"/>
      <c r="PRM37" s="759"/>
      <c r="PRN37" s="759"/>
      <c r="PRO37" s="759"/>
      <c r="PRP37" s="759"/>
      <c r="PRQ37" s="759"/>
      <c r="PRR37" s="759"/>
      <c r="PRS37" s="759"/>
      <c r="PRT37" s="759"/>
      <c r="PRU37" s="759"/>
      <c r="PRV37" s="759"/>
      <c r="PRW37" s="759"/>
      <c r="PRX37" s="759"/>
      <c r="PRY37" s="759"/>
      <c r="PRZ37" s="759"/>
      <c r="PSA37" s="759"/>
      <c r="PSB37" s="759"/>
      <c r="PSC37" s="759"/>
      <c r="PSD37" s="759"/>
      <c r="PSE37" s="759"/>
      <c r="PSF37" s="759"/>
      <c r="PSG37" s="759"/>
      <c r="PSH37" s="759"/>
      <c r="PSI37" s="759"/>
      <c r="PSJ37" s="759"/>
      <c r="PSK37" s="759"/>
      <c r="PSL37" s="759"/>
      <c r="PSM37" s="759"/>
      <c r="PSN37" s="759"/>
      <c r="PSO37" s="759"/>
      <c r="PSP37" s="759"/>
      <c r="PSQ37" s="759"/>
      <c r="PSR37" s="759"/>
      <c r="PSS37" s="759"/>
      <c r="PST37" s="759"/>
      <c r="PSU37" s="759"/>
      <c r="PSV37" s="759"/>
      <c r="PSW37" s="759"/>
      <c r="PSX37" s="759"/>
      <c r="PSY37" s="759"/>
      <c r="PSZ37" s="759"/>
      <c r="PTA37" s="759"/>
      <c r="PTB37" s="759"/>
      <c r="PTC37" s="759"/>
      <c r="PTD37" s="759"/>
      <c r="PTE37" s="759"/>
      <c r="PTF37" s="759"/>
      <c r="PTG37" s="759"/>
      <c r="PTH37" s="759"/>
      <c r="PTI37" s="759"/>
      <c r="PTJ37" s="759"/>
      <c r="PTK37" s="759"/>
      <c r="PTL37" s="759"/>
      <c r="PTM37" s="759"/>
      <c r="PTN37" s="759"/>
      <c r="PTO37" s="759"/>
      <c r="PTP37" s="759"/>
      <c r="PTQ37" s="759"/>
      <c r="PTR37" s="759"/>
      <c r="PTS37" s="759"/>
      <c r="PTT37" s="759"/>
      <c r="PTU37" s="759"/>
      <c r="PTV37" s="759"/>
      <c r="PTW37" s="759"/>
      <c r="PTX37" s="759"/>
      <c r="PTY37" s="759"/>
      <c r="PTZ37" s="759"/>
      <c r="PUA37" s="759"/>
      <c r="PUB37" s="759"/>
      <c r="PUC37" s="759"/>
      <c r="PUD37" s="759"/>
      <c r="PUE37" s="759"/>
      <c r="PUF37" s="759"/>
      <c r="PUG37" s="759"/>
      <c r="PUH37" s="759"/>
      <c r="PUI37" s="759"/>
      <c r="PUJ37" s="759"/>
      <c r="PUK37" s="759"/>
      <c r="PUL37" s="759"/>
      <c r="PUM37" s="759"/>
      <c r="PUN37" s="759"/>
      <c r="PUO37" s="759"/>
      <c r="PUP37" s="759"/>
      <c r="PUQ37" s="759"/>
      <c r="PUR37" s="759"/>
      <c r="PUS37" s="759"/>
      <c r="PUT37" s="759"/>
      <c r="PUU37" s="759"/>
      <c r="PUV37" s="759"/>
      <c r="PUW37" s="759"/>
      <c r="PUX37" s="759"/>
      <c r="PUY37" s="759"/>
      <c r="PUZ37" s="759"/>
      <c r="PVA37" s="759"/>
      <c r="PVB37" s="759"/>
      <c r="PVC37" s="759"/>
      <c r="PVD37" s="759"/>
      <c r="PVE37" s="759"/>
      <c r="PVF37" s="759"/>
      <c r="PVG37" s="759"/>
      <c r="PVH37" s="759"/>
      <c r="PVI37" s="759"/>
      <c r="PVJ37" s="759"/>
      <c r="PVK37" s="759"/>
      <c r="PVL37" s="759"/>
      <c r="PVM37" s="759"/>
      <c r="PVN37" s="759"/>
      <c r="PVO37" s="759"/>
      <c r="PVP37" s="759"/>
      <c r="PVQ37" s="759"/>
      <c r="PVR37" s="759"/>
      <c r="PVS37" s="759"/>
      <c r="PVT37" s="759"/>
      <c r="PVU37" s="759"/>
      <c r="PVV37" s="759"/>
      <c r="PVW37" s="759"/>
      <c r="PVX37" s="759"/>
      <c r="PVY37" s="759"/>
      <c r="PVZ37" s="759"/>
      <c r="PWA37" s="759"/>
      <c r="PWB37" s="759"/>
      <c r="PWC37" s="759"/>
      <c r="PWD37" s="759"/>
      <c r="PWE37" s="759"/>
      <c r="PWF37" s="759"/>
      <c r="PWG37" s="759"/>
      <c r="PWH37" s="759"/>
      <c r="PWI37" s="759"/>
      <c r="PWJ37" s="759"/>
      <c r="PWK37" s="759"/>
      <c r="PWL37" s="759"/>
      <c r="PWM37" s="759"/>
      <c r="PWN37" s="759"/>
      <c r="PWO37" s="759"/>
      <c r="PWP37" s="759"/>
      <c r="PWQ37" s="759"/>
      <c r="PWR37" s="759"/>
      <c r="PWS37" s="759"/>
      <c r="PWT37" s="759"/>
      <c r="PWU37" s="759"/>
      <c r="PWV37" s="759"/>
      <c r="PWW37" s="759"/>
      <c r="PWX37" s="759"/>
      <c r="PWY37" s="759"/>
      <c r="PWZ37" s="759"/>
      <c r="PXA37" s="759"/>
      <c r="PXB37" s="759"/>
      <c r="PXC37" s="759"/>
      <c r="PXD37" s="759"/>
      <c r="PXE37" s="759"/>
      <c r="PXF37" s="759"/>
      <c r="PXG37" s="759"/>
      <c r="PXH37" s="759"/>
      <c r="PXI37" s="759"/>
      <c r="PXJ37" s="759"/>
      <c r="PXK37" s="759"/>
      <c r="PXL37" s="759"/>
      <c r="PXM37" s="759"/>
      <c r="PXN37" s="759"/>
      <c r="PXO37" s="759"/>
      <c r="PXP37" s="759"/>
      <c r="PXQ37" s="759"/>
      <c r="PXR37" s="759"/>
      <c r="PXS37" s="759"/>
      <c r="PXT37" s="759"/>
      <c r="PXU37" s="759"/>
      <c r="PXV37" s="759"/>
      <c r="PXW37" s="759"/>
      <c r="PXX37" s="759"/>
      <c r="PXY37" s="759"/>
      <c r="PXZ37" s="759"/>
      <c r="PYA37" s="759"/>
      <c r="PYB37" s="759"/>
      <c r="PYC37" s="759"/>
      <c r="PYD37" s="759"/>
      <c r="PYE37" s="759"/>
      <c r="PYF37" s="759"/>
      <c r="PYG37" s="759"/>
      <c r="PYH37" s="759"/>
      <c r="PYI37" s="759"/>
      <c r="PYJ37" s="759"/>
      <c r="PYK37" s="759"/>
      <c r="PYL37" s="759"/>
      <c r="PYM37" s="759"/>
      <c r="PYN37" s="759"/>
      <c r="PYO37" s="759"/>
      <c r="PYP37" s="759"/>
      <c r="PYQ37" s="759"/>
      <c r="PYR37" s="759"/>
      <c r="PYS37" s="759"/>
      <c r="PYT37" s="759"/>
      <c r="PYU37" s="759"/>
      <c r="PYV37" s="759"/>
      <c r="PYW37" s="759"/>
      <c r="PYX37" s="759"/>
      <c r="PYY37" s="759"/>
      <c r="PYZ37" s="759"/>
      <c r="PZA37" s="759"/>
      <c r="PZB37" s="759"/>
      <c r="PZC37" s="759"/>
      <c r="PZD37" s="759"/>
      <c r="PZE37" s="759"/>
      <c r="PZF37" s="759"/>
      <c r="PZG37" s="759"/>
      <c r="PZH37" s="759"/>
      <c r="PZI37" s="759"/>
      <c r="PZJ37" s="759"/>
      <c r="PZK37" s="759"/>
      <c r="PZL37" s="759"/>
      <c r="PZM37" s="759"/>
      <c r="PZN37" s="759"/>
      <c r="PZO37" s="759"/>
      <c r="PZP37" s="759"/>
      <c r="PZQ37" s="759"/>
      <c r="PZR37" s="759"/>
      <c r="PZS37" s="759"/>
      <c r="PZT37" s="759"/>
      <c r="PZU37" s="759"/>
      <c r="PZV37" s="759"/>
      <c r="PZW37" s="759"/>
      <c r="PZX37" s="759"/>
      <c r="PZY37" s="759"/>
      <c r="PZZ37" s="759"/>
      <c r="QAA37" s="759"/>
      <c r="QAB37" s="759"/>
      <c r="QAC37" s="759"/>
      <c r="QAD37" s="759"/>
      <c r="QAE37" s="759"/>
      <c r="QAF37" s="759"/>
      <c r="QAG37" s="759"/>
      <c r="QAH37" s="759"/>
      <c r="QAI37" s="759"/>
      <c r="QAJ37" s="759"/>
      <c r="QAK37" s="759"/>
      <c r="QAL37" s="759"/>
      <c r="QAM37" s="759"/>
      <c r="QAN37" s="759"/>
      <c r="QAO37" s="759"/>
      <c r="QAP37" s="759"/>
      <c r="QAQ37" s="759"/>
      <c r="QAR37" s="759"/>
      <c r="QAS37" s="759"/>
      <c r="QAT37" s="759"/>
      <c r="QAU37" s="759"/>
      <c r="QAV37" s="759"/>
      <c r="QAW37" s="759"/>
      <c r="QAX37" s="759"/>
      <c r="QAY37" s="759"/>
      <c r="QAZ37" s="759"/>
      <c r="QBA37" s="759"/>
      <c r="QBB37" s="759"/>
      <c r="QBC37" s="759"/>
      <c r="QBD37" s="759"/>
      <c r="QBE37" s="759"/>
      <c r="QBF37" s="759"/>
      <c r="QBG37" s="759"/>
      <c r="QBH37" s="759"/>
      <c r="QBI37" s="759"/>
      <c r="QBJ37" s="759"/>
      <c r="QBK37" s="759"/>
      <c r="QBL37" s="759"/>
      <c r="QBM37" s="759"/>
      <c r="QBN37" s="759"/>
      <c r="QBO37" s="759"/>
      <c r="QBP37" s="759"/>
      <c r="QBQ37" s="759"/>
      <c r="QBR37" s="759"/>
      <c r="QBS37" s="759"/>
      <c r="QBT37" s="759"/>
      <c r="QBU37" s="759"/>
      <c r="QBV37" s="759"/>
      <c r="QBW37" s="759"/>
      <c r="QBX37" s="759"/>
      <c r="QBY37" s="759"/>
      <c r="QBZ37" s="759"/>
      <c r="QCA37" s="759"/>
      <c r="QCB37" s="759"/>
      <c r="QCC37" s="759"/>
      <c r="QCD37" s="759"/>
      <c r="QCE37" s="759"/>
      <c r="QCF37" s="759"/>
      <c r="QCG37" s="759"/>
      <c r="QCH37" s="759"/>
      <c r="QCI37" s="759"/>
      <c r="QCJ37" s="759"/>
      <c r="QCK37" s="759"/>
      <c r="QCL37" s="759"/>
      <c r="QCM37" s="759"/>
      <c r="QCN37" s="759"/>
      <c r="QCO37" s="759"/>
      <c r="QCP37" s="759"/>
      <c r="QCQ37" s="759"/>
      <c r="QCR37" s="759"/>
      <c r="QCS37" s="759"/>
      <c r="QCT37" s="759"/>
      <c r="QCU37" s="759"/>
      <c r="QCV37" s="759"/>
      <c r="QCW37" s="759"/>
      <c r="QCX37" s="759"/>
      <c r="QCY37" s="759"/>
      <c r="QCZ37" s="759"/>
      <c r="QDA37" s="759"/>
      <c r="QDB37" s="759"/>
      <c r="QDC37" s="759"/>
      <c r="QDD37" s="759"/>
      <c r="QDE37" s="759"/>
      <c r="QDF37" s="759"/>
      <c r="QDG37" s="759"/>
      <c r="QDH37" s="759"/>
      <c r="QDI37" s="759"/>
      <c r="QDJ37" s="759"/>
      <c r="QDK37" s="759"/>
      <c r="QDL37" s="759"/>
      <c r="QDM37" s="759"/>
      <c r="QDN37" s="759"/>
      <c r="QDO37" s="759"/>
      <c r="QDP37" s="759"/>
      <c r="QDQ37" s="759"/>
      <c r="QDR37" s="759"/>
      <c r="QDS37" s="759"/>
      <c r="QDT37" s="759"/>
      <c r="QDU37" s="759"/>
      <c r="QDV37" s="759"/>
      <c r="QDW37" s="759"/>
      <c r="QDX37" s="759"/>
      <c r="QDY37" s="759"/>
      <c r="QDZ37" s="759"/>
      <c r="QEA37" s="759"/>
      <c r="QEB37" s="759"/>
      <c r="QEC37" s="759"/>
      <c r="QED37" s="759"/>
      <c r="QEE37" s="759"/>
      <c r="QEF37" s="759"/>
      <c r="QEG37" s="759"/>
      <c r="QEH37" s="759"/>
      <c r="QEI37" s="759"/>
      <c r="QEJ37" s="759"/>
      <c r="QEK37" s="759"/>
      <c r="QEL37" s="759"/>
      <c r="QEM37" s="759"/>
      <c r="QEN37" s="759"/>
      <c r="QEO37" s="759"/>
      <c r="QEP37" s="759"/>
      <c r="QEQ37" s="759"/>
      <c r="QER37" s="759"/>
      <c r="QES37" s="759"/>
      <c r="QET37" s="759"/>
      <c r="QEU37" s="759"/>
      <c r="QEV37" s="759"/>
      <c r="QEW37" s="759"/>
      <c r="QEX37" s="759"/>
      <c r="QEY37" s="759"/>
      <c r="QEZ37" s="759"/>
      <c r="QFA37" s="759"/>
      <c r="QFB37" s="759"/>
      <c r="QFC37" s="759"/>
      <c r="QFD37" s="759"/>
      <c r="QFE37" s="759"/>
      <c r="QFF37" s="759"/>
      <c r="QFG37" s="759"/>
      <c r="QFH37" s="759"/>
      <c r="QFI37" s="759"/>
      <c r="QFJ37" s="759"/>
      <c r="QFK37" s="759"/>
      <c r="QFL37" s="759"/>
      <c r="QFM37" s="759"/>
      <c r="QFN37" s="759"/>
      <c r="QFO37" s="759"/>
      <c r="QFP37" s="759"/>
      <c r="QFQ37" s="759"/>
      <c r="QFR37" s="759"/>
      <c r="QFS37" s="759"/>
      <c r="QFT37" s="759"/>
      <c r="QFU37" s="759"/>
      <c r="QFV37" s="759"/>
      <c r="QFW37" s="759"/>
      <c r="QFX37" s="759"/>
      <c r="QFY37" s="759"/>
      <c r="QFZ37" s="759"/>
      <c r="QGA37" s="759"/>
      <c r="QGB37" s="759"/>
      <c r="QGC37" s="759"/>
      <c r="QGD37" s="759"/>
      <c r="QGE37" s="759"/>
      <c r="QGF37" s="759"/>
      <c r="QGG37" s="759"/>
      <c r="QGH37" s="759"/>
      <c r="QGI37" s="759"/>
      <c r="QGJ37" s="759"/>
      <c r="QGK37" s="759"/>
      <c r="QGL37" s="759"/>
      <c r="QGM37" s="759"/>
      <c r="QGN37" s="759"/>
      <c r="QGO37" s="759"/>
      <c r="QGP37" s="759"/>
      <c r="QGQ37" s="759"/>
      <c r="QGR37" s="759"/>
      <c r="QGS37" s="759"/>
      <c r="QGT37" s="759"/>
      <c r="QGU37" s="759"/>
      <c r="QGV37" s="759"/>
      <c r="QGW37" s="759"/>
      <c r="QGX37" s="759"/>
      <c r="QGY37" s="759"/>
      <c r="QGZ37" s="759"/>
      <c r="QHA37" s="759"/>
      <c r="QHB37" s="759"/>
      <c r="QHC37" s="759"/>
      <c r="QHD37" s="759"/>
      <c r="QHE37" s="759"/>
      <c r="QHF37" s="759"/>
      <c r="QHG37" s="759"/>
      <c r="QHH37" s="759"/>
      <c r="QHI37" s="759"/>
      <c r="QHJ37" s="759"/>
      <c r="QHK37" s="759"/>
      <c r="QHL37" s="759"/>
      <c r="QHM37" s="759"/>
      <c r="QHN37" s="759"/>
      <c r="QHO37" s="759"/>
      <c r="QHP37" s="759"/>
      <c r="QHQ37" s="759"/>
      <c r="QHR37" s="759"/>
      <c r="QHS37" s="759"/>
      <c r="QHT37" s="759"/>
      <c r="QHU37" s="759"/>
      <c r="QHV37" s="759"/>
      <c r="QHW37" s="759"/>
      <c r="QHX37" s="759"/>
      <c r="QHY37" s="759"/>
      <c r="QHZ37" s="759"/>
      <c r="QIA37" s="759"/>
      <c r="QIB37" s="759"/>
      <c r="QIC37" s="759"/>
      <c r="QID37" s="759"/>
      <c r="QIE37" s="759"/>
      <c r="QIF37" s="759"/>
      <c r="QIG37" s="759"/>
      <c r="QIH37" s="759"/>
      <c r="QII37" s="759"/>
      <c r="QIJ37" s="759"/>
      <c r="QIK37" s="759"/>
      <c r="QIL37" s="759"/>
      <c r="QIM37" s="759"/>
      <c r="QIN37" s="759"/>
      <c r="QIO37" s="759"/>
      <c r="QIP37" s="759"/>
      <c r="QIQ37" s="759"/>
      <c r="QIR37" s="759"/>
      <c r="QIS37" s="759"/>
      <c r="QIT37" s="759"/>
      <c r="QIU37" s="759"/>
      <c r="QIV37" s="759"/>
      <c r="QIW37" s="759"/>
      <c r="QIX37" s="759"/>
      <c r="QIY37" s="759"/>
      <c r="QIZ37" s="759"/>
      <c r="QJA37" s="759"/>
      <c r="QJB37" s="759"/>
      <c r="QJC37" s="759"/>
      <c r="QJD37" s="759"/>
      <c r="QJE37" s="759"/>
      <c r="QJF37" s="759"/>
      <c r="QJG37" s="759"/>
      <c r="QJH37" s="759"/>
      <c r="QJI37" s="759"/>
      <c r="QJJ37" s="759"/>
      <c r="QJK37" s="759"/>
      <c r="QJL37" s="759"/>
      <c r="QJM37" s="759"/>
      <c r="QJN37" s="759"/>
      <c r="QJO37" s="759"/>
      <c r="QJP37" s="759"/>
      <c r="QJQ37" s="759"/>
      <c r="QJR37" s="759"/>
      <c r="QJS37" s="759"/>
      <c r="QJT37" s="759"/>
      <c r="QJU37" s="759"/>
      <c r="QJV37" s="759"/>
      <c r="QJW37" s="759"/>
      <c r="QJX37" s="759"/>
      <c r="QJY37" s="759"/>
      <c r="QJZ37" s="759"/>
      <c r="QKA37" s="759"/>
      <c r="QKB37" s="759"/>
      <c r="QKC37" s="759"/>
      <c r="QKD37" s="759"/>
      <c r="QKE37" s="759"/>
      <c r="QKF37" s="759"/>
      <c r="QKG37" s="759"/>
      <c r="QKH37" s="759"/>
      <c r="QKI37" s="759"/>
      <c r="QKJ37" s="759"/>
      <c r="QKK37" s="759"/>
      <c r="QKL37" s="759"/>
      <c r="QKM37" s="759"/>
      <c r="QKN37" s="759"/>
      <c r="QKO37" s="759"/>
      <c r="QKP37" s="759"/>
      <c r="QKQ37" s="759"/>
      <c r="QKR37" s="759"/>
      <c r="QKS37" s="759"/>
      <c r="QKT37" s="759"/>
      <c r="QKU37" s="759"/>
      <c r="QKV37" s="759"/>
      <c r="QKW37" s="759"/>
      <c r="QKX37" s="759"/>
      <c r="QKY37" s="759"/>
      <c r="QKZ37" s="759"/>
      <c r="QLA37" s="759"/>
      <c r="QLB37" s="759"/>
      <c r="QLC37" s="759"/>
      <c r="QLD37" s="759"/>
      <c r="QLE37" s="759"/>
      <c r="QLF37" s="759"/>
      <c r="QLG37" s="759"/>
      <c r="QLH37" s="759"/>
      <c r="QLI37" s="759"/>
      <c r="QLJ37" s="759"/>
      <c r="QLK37" s="759"/>
      <c r="QLL37" s="759"/>
      <c r="QLM37" s="759"/>
      <c r="QLN37" s="759"/>
      <c r="QLO37" s="759"/>
      <c r="QLP37" s="759"/>
      <c r="QLQ37" s="759"/>
      <c r="QLR37" s="759"/>
      <c r="QLS37" s="759"/>
      <c r="QLT37" s="759"/>
      <c r="QLU37" s="759"/>
      <c r="QLV37" s="759"/>
      <c r="QLW37" s="759"/>
      <c r="QLX37" s="759"/>
      <c r="QLY37" s="759"/>
      <c r="QLZ37" s="759"/>
      <c r="QMA37" s="759"/>
      <c r="QMB37" s="759"/>
      <c r="QMC37" s="759"/>
      <c r="QMD37" s="759"/>
      <c r="QME37" s="759"/>
      <c r="QMF37" s="759"/>
      <c r="QMG37" s="759"/>
      <c r="QMH37" s="759"/>
      <c r="QMI37" s="759"/>
      <c r="QMJ37" s="759"/>
      <c r="QMK37" s="759"/>
      <c r="QML37" s="759"/>
      <c r="QMM37" s="759"/>
      <c r="QMN37" s="759"/>
      <c r="QMO37" s="759"/>
      <c r="QMP37" s="759"/>
      <c r="QMQ37" s="759"/>
      <c r="QMR37" s="759"/>
      <c r="QMS37" s="759"/>
      <c r="QMT37" s="759"/>
      <c r="QMU37" s="759"/>
      <c r="QMV37" s="759"/>
      <c r="QMW37" s="759"/>
      <c r="QMX37" s="759"/>
      <c r="QMY37" s="759"/>
      <c r="QMZ37" s="759"/>
      <c r="QNA37" s="759"/>
      <c r="QNB37" s="759"/>
      <c r="QNC37" s="759"/>
      <c r="QND37" s="759"/>
      <c r="QNE37" s="759"/>
      <c r="QNF37" s="759"/>
      <c r="QNG37" s="759"/>
      <c r="QNH37" s="759"/>
      <c r="QNI37" s="759"/>
      <c r="QNJ37" s="759"/>
      <c r="QNK37" s="759"/>
      <c r="QNL37" s="759"/>
      <c r="QNM37" s="759"/>
      <c r="QNN37" s="759"/>
      <c r="QNO37" s="759"/>
      <c r="QNP37" s="759"/>
      <c r="QNQ37" s="759"/>
      <c r="QNR37" s="759"/>
      <c r="QNS37" s="759"/>
      <c r="QNT37" s="759"/>
      <c r="QNU37" s="759"/>
      <c r="QNV37" s="759"/>
      <c r="QNW37" s="759"/>
      <c r="QNX37" s="759"/>
      <c r="QNY37" s="759"/>
      <c r="QNZ37" s="759"/>
      <c r="QOA37" s="759"/>
      <c r="QOB37" s="759"/>
      <c r="QOC37" s="759"/>
      <c r="QOD37" s="759"/>
      <c r="QOE37" s="759"/>
      <c r="QOF37" s="759"/>
      <c r="QOG37" s="759"/>
      <c r="QOH37" s="759"/>
      <c r="QOI37" s="759"/>
      <c r="QOJ37" s="759"/>
      <c r="QOK37" s="759"/>
      <c r="QOL37" s="759"/>
      <c r="QOM37" s="759"/>
      <c r="QON37" s="759"/>
      <c r="QOO37" s="759"/>
      <c r="QOP37" s="759"/>
      <c r="QOQ37" s="759"/>
      <c r="QOR37" s="759"/>
      <c r="QOS37" s="759"/>
      <c r="QOT37" s="759"/>
      <c r="QOU37" s="759"/>
      <c r="QOV37" s="759"/>
      <c r="QOW37" s="759"/>
      <c r="QOX37" s="759"/>
      <c r="QOY37" s="759"/>
      <c r="QOZ37" s="759"/>
      <c r="QPA37" s="759"/>
      <c r="QPB37" s="759"/>
      <c r="QPC37" s="759"/>
      <c r="QPD37" s="759"/>
      <c r="QPE37" s="759"/>
      <c r="QPF37" s="759"/>
      <c r="QPG37" s="759"/>
      <c r="QPH37" s="759"/>
      <c r="QPI37" s="759"/>
      <c r="QPJ37" s="759"/>
      <c r="QPK37" s="759"/>
      <c r="QPL37" s="759"/>
      <c r="QPM37" s="759"/>
      <c r="QPN37" s="759"/>
      <c r="QPO37" s="759"/>
      <c r="QPP37" s="759"/>
      <c r="QPQ37" s="759"/>
      <c r="QPR37" s="759"/>
      <c r="QPS37" s="759"/>
      <c r="QPT37" s="759"/>
      <c r="QPU37" s="759"/>
      <c r="QPV37" s="759"/>
      <c r="QPW37" s="759"/>
      <c r="QPX37" s="759"/>
      <c r="QPY37" s="759"/>
      <c r="QPZ37" s="759"/>
      <c r="QQA37" s="759"/>
      <c r="QQB37" s="759"/>
      <c r="QQC37" s="759"/>
      <c r="QQD37" s="759"/>
      <c r="QQE37" s="759"/>
      <c r="QQF37" s="759"/>
      <c r="QQG37" s="759"/>
      <c r="QQH37" s="759"/>
      <c r="QQI37" s="759"/>
      <c r="QQJ37" s="759"/>
      <c r="QQK37" s="759"/>
      <c r="QQL37" s="759"/>
      <c r="QQM37" s="759"/>
      <c r="QQN37" s="759"/>
      <c r="QQO37" s="759"/>
      <c r="QQP37" s="759"/>
      <c r="QQQ37" s="759"/>
      <c r="QQR37" s="759"/>
      <c r="QQS37" s="759"/>
      <c r="QQT37" s="759"/>
      <c r="QQU37" s="759"/>
      <c r="QQV37" s="759"/>
      <c r="QQW37" s="759"/>
      <c r="QQX37" s="759"/>
      <c r="QQY37" s="759"/>
      <c r="QQZ37" s="759"/>
      <c r="QRA37" s="759"/>
      <c r="QRB37" s="759"/>
      <c r="QRC37" s="759"/>
      <c r="QRD37" s="759"/>
      <c r="QRE37" s="759"/>
      <c r="QRF37" s="759"/>
      <c r="QRG37" s="759"/>
      <c r="QRH37" s="759"/>
      <c r="QRI37" s="759"/>
      <c r="QRJ37" s="759"/>
      <c r="QRK37" s="759"/>
      <c r="QRL37" s="759"/>
      <c r="QRM37" s="759"/>
      <c r="QRN37" s="759"/>
      <c r="QRO37" s="759"/>
      <c r="QRP37" s="759"/>
      <c r="QRQ37" s="759"/>
      <c r="QRR37" s="759"/>
      <c r="QRS37" s="759"/>
      <c r="QRT37" s="759"/>
      <c r="QRU37" s="759"/>
      <c r="QRV37" s="759"/>
      <c r="QRW37" s="759"/>
      <c r="QRX37" s="759"/>
      <c r="QRY37" s="759"/>
      <c r="QRZ37" s="759"/>
      <c r="QSA37" s="759"/>
      <c r="QSB37" s="759"/>
      <c r="QSC37" s="759"/>
      <c r="QSD37" s="759"/>
      <c r="QSE37" s="759"/>
      <c r="QSF37" s="759"/>
      <c r="QSG37" s="759"/>
      <c r="QSH37" s="759"/>
      <c r="QSI37" s="759"/>
      <c r="QSJ37" s="759"/>
      <c r="QSK37" s="759"/>
      <c r="QSL37" s="759"/>
      <c r="QSM37" s="759"/>
      <c r="QSN37" s="759"/>
      <c r="QSO37" s="759"/>
      <c r="QSP37" s="759"/>
      <c r="QSQ37" s="759"/>
      <c r="QSR37" s="759"/>
      <c r="QSS37" s="759"/>
      <c r="QST37" s="759"/>
      <c r="QSU37" s="759"/>
      <c r="QSV37" s="759"/>
      <c r="QSW37" s="759"/>
      <c r="QSX37" s="759"/>
      <c r="QSY37" s="759"/>
      <c r="QSZ37" s="759"/>
      <c r="QTA37" s="759"/>
      <c r="QTB37" s="759"/>
      <c r="QTC37" s="759"/>
      <c r="QTD37" s="759"/>
      <c r="QTE37" s="759"/>
      <c r="QTF37" s="759"/>
      <c r="QTG37" s="759"/>
      <c r="QTH37" s="759"/>
      <c r="QTI37" s="759"/>
      <c r="QTJ37" s="759"/>
      <c r="QTK37" s="759"/>
      <c r="QTL37" s="759"/>
      <c r="QTM37" s="759"/>
      <c r="QTN37" s="759"/>
      <c r="QTO37" s="759"/>
      <c r="QTP37" s="759"/>
      <c r="QTQ37" s="759"/>
      <c r="QTR37" s="759"/>
      <c r="QTS37" s="759"/>
      <c r="QTT37" s="759"/>
      <c r="QTU37" s="759"/>
      <c r="QTV37" s="759"/>
      <c r="QTW37" s="759"/>
      <c r="QTX37" s="759"/>
      <c r="QTY37" s="759"/>
      <c r="QTZ37" s="759"/>
      <c r="QUA37" s="759"/>
      <c r="QUB37" s="759"/>
      <c r="QUC37" s="759"/>
      <c r="QUD37" s="759"/>
      <c r="QUE37" s="759"/>
      <c r="QUF37" s="759"/>
      <c r="QUG37" s="759"/>
      <c r="QUH37" s="759"/>
      <c r="QUI37" s="759"/>
      <c r="QUJ37" s="759"/>
      <c r="QUK37" s="759"/>
      <c r="QUL37" s="759"/>
      <c r="QUM37" s="759"/>
      <c r="QUN37" s="759"/>
      <c r="QUO37" s="759"/>
      <c r="QUP37" s="759"/>
      <c r="QUQ37" s="759"/>
      <c r="QUR37" s="759"/>
      <c r="QUS37" s="759"/>
      <c r="QUT37" s="759"/>
      <c r="QUU37" s="759"/>
      <c r="QUV37" s="759"/>
      <c r="QUW37" s="759"/>
      <c r="QUX37" s="759"/>
      <c r="QUY37" s="759"/>
      <c r="QUZ37" s="759"/>
      <c r="QVA37" s="759"/>
      <c r="QVB37" s="759"/>
      <c r="QVC37" s="759"/>
      <c r="QVD37" s="759"/>
      <c r="QVE37" s="759"/>
      <c r="QVF37" s="759"/>
      <c r="QVG37" s="759"/>
      <c r="QVH37" s="759"/>
      <c r="QVI37" s="759"/>
      <c r="QVJ37" s="759"/>
      <c r="QVK37" s="759"/>
      <c r="QVL37" s="759"/>
      <c r="QVM37" s="759"/>
      <c r="QVN37" s="759"/>
      <c r="QVO37" s="759"/>
      <c r="QVP37" s="759"/>
      <c r="QVQ37" s="759"/>
      <c r="QVR37" s="759"/>
      <c r="QVS37" s="759"/>
      <c r="QVT37" s="759"/>
      <c r="QVU37" s="759"/>
      <c r="QVV37" s="759"/>
      <c r="QVW37" s="759"/>
      <c r="QVX37" s="759"/>
      <c r="QVY37" s="759"/>
      <c r="QVZ37" s="759"/>
      <c r="QWA37" s="759"/>
      <c r="QWB37" s="759"/>
      <c r="QWC37" s="759"/>
      <c r="QWD37" s="759"/>
      <c r="QWE37" s="759"/>
      <c r="QWF37" s="759"/>
      <c r="QWG37" s="759"/>
      <c r="QWH37" s="759"/>
      <c r="QWI37" s="759"/>
      <c r="QWJ37" s="759"/>
      <c r="QWK37" s="759"/>
      <c r="QWL37" s="759"/>
      <c r="QWM37" s="759"/>
      <c r="QWN37" s="759"/>
      <c r="QWO37" s="759"/>
      <c r="QWP37" s="759"/>
      <c r="QWQ37" s="759"/>
      <c r="QWR37" s="759"/>
      <c r="QWS37" s="759"/>
      <c r="QWT37" s="759"/>
      <c r="QWU37" s="759"/>
      <c r="QWV37" s="759"/>
      <c r="QWW37" s="759"/>
      <c r="QWX37" s="759"/>
      <c r="QWY37" s="759"/>
      <c r="QWZ37" s="759"/>
      <c r="QXA37" s="759"/>
      <c r="QXB37" s="759"/>
      <c r="QXC37" s="759"/>
      <c r="QXD37" s="759"/>
      <c r="QXE37" s="759"/>
      <c r="QXF37" s="759"/>
      <c r="QXG37" s="759"/>
      <c r="QXH37" s="759"/>
      <c r="QXI37" s="759"/>
      <c r="QXJ37" s="759"/>
      <c r="QXK37" s="759"/>
      <c r="QXL37" s="759"/>
      <c r="QXM37" s="759"/>
      <c r="QXN37" s="759"/>
      <c r="QXO37" s="759"/>
      <c r="QXP37" s="759"/>
      <c r="QXQ37" s="759"/>
      <c r="QXR37" s="759"/>
      <c r="QXS37" s="759"/>
      <c r="QXT37" s="759"/>
      <c r="QXU37" s="759"/>
      <c r="QXV37" s="759"/>
      <c r="QXW37" s="759"/>
      <c r="QXX37" s="759"/>
      <c r="QXY37" s="759"/>
      <c r="QXZ37" s="759"/>
      <c r="QYA37" s="759"/>
      <c r="QYB37" s="759"/>
      <c r="QYC37" s="759"/>
      <c r="QYD37" s="759"/>
      <c r="QYE37" s="759"/>
      <c r="QYF37" s="759"/>
      <c r="QYG37" s="759"/>
      <c r="QYH37" s="759"/>
      <c r="QYI37" s="759"/>
      <c r="QYJ37" s="759"/>
      <c r="QYK37" s="759"/>
      <c r="QYL37" s="759"/>
      <c r="QYM37" s="759"/>
      <c r="QYN37" s="759"/>
      <c r="QYO37" s="759"/>
      <c r="QYP37" s="759"/>
      <c r="QYQ37" s="759"/>
      <c r="QYR37" s="759"/>
      <c r="QYS37" s="759"/>
      <c r="QYT37" s="759"/>
      <c r="QYU37" s="759"/>
      <c r="QYV37" s="759"/>
      <c r="QYW37" s="759"/>
      <c r="QYX37" s="759"/>
      <c r="QYY37" s="759"/>
      <c r="QYZ37" s="759"/>
      <c r="QZA37" s="759"/>
      <c r="QZB37" s="759"/>
      <c r="QZC37" s="759"/>
      <c r="QZD37" s="759"/>
      <c r="QZE37" s="759"/>
      <c r="QZF37" s="759"/>
      <c r="QZG37" s="759"/>
      <c r="QZH37" s="759"/>
      <c r="QZI37" s="759"/>
      <c r="QZJ37" s="759"/>
      <c r="QZK37" s="759"/>
      <c r="QZL37" s="759"/>
      <c r="QZM37" s="759"/>
      <c r="QZN37" s="759"/>
      <c r="QZO37" s="759"/>
      <c r="QZP37" s="759"/>
      <c r="QZQ37" s="759"/>
      <c r="QZR37" s="759"/>
      <c r="QZS37" s="759"/>
      <c r="QZT37" s="759"/>
      <c r="QZU37" s="759"/>
      <c r="QZV37" s="759"/>
      <c r="QZW37" s="759"/>
      <c r="QZX37" s="759"/>
      <c r="QZY37" s="759"/>
      <c r="QZZ37" s="759"/>
      <c r="RAA37" s="759"/>
      <c r="RAB37" s="759"/>
      <c r="RAC37" s="759"/>
      <c r="RAD37" s="759"/>
      <c r="RAE37" s="759"/>
      <c r="RAF37" s="759"/>
      <c r="RAG37" s="759"/>
      <c r="RAH37" s="759"/>
      <c r="RAI37" s="759"/>
      <c r="RAJ37" s="759"/>
      <c r="RAK37" s="759"/>
      <c r="RAL37" s="759"/>
      <c r="RAM37" s="759"/>
      <c r="RAN37" s="759"/>
      <c r="RAO37" s="759"/>
      <c r="RAP37" s="759"/>
      <c r="RAQ37" s="759"/>
      <c r="RAR37" s="759"/>
      <c r="RAS37" s="759"/>
      <c r="RAT37" s="759"/>
      <c r="RAU37" s="759"/>
      <c r="RAV37" s="759"/>
      <c r="RAW37" s="759"/>
      <c r="RAX37" s="759"/>
      <c r="RAY37" s="759"/>
      <c r="RAZ37" s="759"/>
      <c r="RBA37" s="759"/>
      <c r="RBB37" s="759"/>
      <c r="RBC37" s="759"/>
      <c r="RBD37" s="759"/>
      <c r="RBE37" s="759"/>
      <c r="RBF37" s="759"/>
      <c r="RBG37" s="759"/>
      <c r="RBH37" s="759"/>
      <c r="RBI37" s="759"/>
      <c r="RBJ37" s="759"/>
      <c r="RBK37" s="759"/>
      <c r="RBL37" s="759"/>
      <c r="RBM37" s="759"/>
      <c r="RBN37" s="759"/>
      <c r="RBO37" s="759"/>
      <c r="RBP37" s="759"/>
      <c r="RBQ37" s="759"/>
      <c r="RBR37" s="759"/>
      <c r="RBS37" s="759"/>
      <c r="RBT37" s="759"/>
      <c r="RBU37" s="759"/>
      <c r="RBV37" s="759"/>
      <c r="RBW37" s="759"/>
      <c r="RBX37" s="759"/>
      <c r="RBY37" s="759"/>
      <c r="RBZ37" s="759"/>
      <c r="RCA37" s="759"/>
      <c r="RCB37" s="759"/>
      <c r="RCC37" s="759"/>
      <c r="RCD37" s="759"/>
      <c r="RCE37" s="759"/>
      <c r="RCF37" s="759"/>
      <c r="RCG37" s="759"/>
      <c r="RCH37" s="759"/>
      <c r="RCI37" s="759"/>
      <c r="RCJ37" s="759"/>
      <c r="RCK37" s="759"/>
      <c r="RCL37" s="759"/>
      <c r="RCM37" s="759"/>
      <c r="RCN37" s="759"/>
      <c r="RCO37" s="759"/>
      <c r="RCP37" s="759"/>
      <c r="RCQ37" s="759"/>
      <c r="RCR37" s="759"/>
      <c r="RCS37" s="759"/>
      <c r="RCT37" s="759"/>
      <c r="RCU37" s="759"/>
      <c r="RCV37" s="759"/>
      <c r="RCW37" s="759"/>
      <c r="RCX37" s="759"/>
      <c r="RCY37" s="759"/>
      <c r="RCZ37" s="759"/>
      <c r="RDA37" s="759"/>
      <c r="RDB37" s="759"/>
      <c r="RDC37" s="759"/>
      <c r="RDD37" s="759"/>
      <c r="RDE37" s="759"/>
      <c r="RDF37" s="759"/>
      <c r="RDG37" s="759"/>
      <c r="RDH37" s="759"/>
      <c r="RDI37" s="759"/>
      <c r="RDJ37" s="759"/>
      <c r="RDK37" s="759"/>
      <c r="RDL37" s="759"/>
      <c r="RDM37" s="759"/>
      <c r="RDN37" s="759"/>
      <c r="RDO37" s="759"/>
      <c r="RDP37" s="759"/>
      <c r="RDQ37" s="759"/>
      <c r="RDR37" s="759"/>
      <c r="RDS37" s="759"/>
      <c r="RDT37" s="759"/>
      <c r="RDU37" s="759"/>
      <c r="RDV37" s="759"/>
      <c r="RDW37" s="759"/>
      <c r="RDX37" s="759"/>
      <c r="RDY37" s="759"/>
      <c r="RDZ37" s="759"/>
      <c r="REA37" s="759"/>
      <c r="REB37" s="759"/>
      <c r="REC37" s="759"/>
      <c r="RED37" s="759"/>
      <c r="REE37" s="759"/>
      <c r="REF37" s="759"/>
      <c r="REG37" s="759"/>
      <c r="REH37" s="759"/>
      <c r="REI37" s="759"/>
      <c r="REJ37" s="759"/>
      <c r="REK37" s="759"/>
      <c r="REL37" s="759"/>
      <c r="REM37" s="759"/>
      <c r="REN37" s="759"/>
      <c r="REO37" s="759"/>
      <c r="REP37" s="759"/>
      <c r="REQ37" s="759"/>
      <c r="RER37" s="759"/>
      <c r="RES37" s="759"/>
      <c r="RET37" s="759"/>
      <c r="REU37" s="759"/>
      <c r="REV37" s="759"/>
      <c r="REW37" s="759"/>
      <c r="REX37" s="759"/>
      <c r="REY37" s="759"/>
      <c r="REZ37" s="759"/>
      <c r="RFA37" s="759"/>
      <c r="RFB37" s="759"/>
      <c r="RFC37" s="759"/>
      <c r="RFD37" s="759"/>
      <c r="RFE37" s="759"/>
      <c r="RFF37" s="759"/>
      <c r="RFG37" s="759"/>
      <c r="RFH37" s="759"/>
      <c r="RFI37" s="759"/>
      <c r="RFJ37" s="759"/>
      <c r="RFK37" s="759"/>
      <c r="RFL37" s="759"/>
      <c r="RFM37" s="759"/>
      <c r="RFN37" s="759"/>
      <c r="RFO37" s="759"/>
      <c r="RFP37" s="759"/>
      <c r="RFQ37" s="759"/>
      <c r="RFR37" s="759"/>
      <c r="RFS37" s="759"/>
      <c r="RFT37" s="759"/>
      <c r="RFU37" s="759"/>
      <c r="RFV37" s="759"/>
      <c r="RFW37" s="759"/>
      <c r="RFX37" s="759"/>
      <c r="RFY37" s="759"/>
      <c r="RFZ37" s="759"/>
      <c r="RGA37" s="759"/>
      <c r="RGB37" s="759"/>
      <c r="RGC37" s="759"/>
      <c r="RGD37" s="759"/>
      <c r="RGE37" s="759"/>
      <c r="RGF37" s="759"/>
      <c r="RGG37" s="759"/>
      <c r="RGH37" s="759"/>
      <c r="RGI37" s="759"/>
      <c r="RGJ37" s="759"/>
      <c r="RGK37" s="759"/>
      <c r="RGL37" s="759"/>
      <c r="RGM37" s="759"/>
      <c r="RGN37" s="759"/>
      <c r="RGO37" s="759"/>
      <c r="RGP37" s="759"/>
      <c r="RGQ37" s="759"/>
      <c r="RGR37" s="759"/>
      <c r="RGS37" s="759"/>
      <c r="RGT37" s="759"/>
      <c r="RGU37" s="759"/>
      <c r="RGV37" s="759"/>
      <c r="RGW37" s="759"/>
      <c r="RGX37" s="759"/>
      <c r="RGY37" s="759"/>
      <c r="RGZ37" s="759"/>
      <c r="RHA37" s="759"/>
      <c r="RHB37" s="759"/>
      <c r="RHC37" s="759"/>
      <c r="RHD37" s="759"/>
      <c r="RHE37" s="759"/>
      <c r="RHF37" s="759"/>
      <c r="RHG37" s="759"/>
      <c r="RHH37" s="759"/>
      <c r="RHI37" s="759"/>
      <c r="RHJ37" s="759"/>
      <c r="RHK37" s="759"/>
      <c r="RHL37" s="759"/>
      <c r="RHM37" s="759"/>
      <c r="RHN37" s="759"/>
      <c r="RHO37" s="759"/>
      <c r="RHP37" s="759"/>
      <c r="RHQ37" s="759"/>
      <c r="RHR37" s="759"/>
      <c r="RHS37" s="759"/>
      <c r="RHT37" s="759"/>
      <c r="RHU37" s="759"/>
      <c r="RHV37" s="759"/>
      <c r="RHW37" s="759"/>
      <c r="RHX37" s="759"/>
      <c r="RHY37" s="759"/>
      <c r="RHZ37" s="759"/>
      <c r="RIA37" s="759"/>
      <c r="RIB37" s="759"/>
      <c r="RIC37" s="759"/>
      <c r="RID37" s="759"/>
      <c r="RIE37" s="759"/>
      <c r="RIF37" s="759"/>
      <c r="RIG37" s="759"/>
      <c r="RIH37" s="759"/>
      <c r="RII37" s="759"/>
      <c r="RIJ37" s="759"/>
      <c r="RIK37" s="759"/>
      <c r="RIL37" s="759"/>
      <c r="RIM37" s="759"/>
      <c r="RIN37" s="759"/>
      <c r="RIO37" s="759"/>
      <c r="RIP37" s="759"/>
      <c r="RIQ37" s="759"/>
      <c r="RIR37" s="759"/>
      <c r="RIS37" s="759"/>
      <c r="RIT37" s="759"/>
      <c r="RIU37" s="759"/>
      <c r="RIV37" s="759"/>
      <c r="RIW37" s="759"/>
      <c r="RIX37" s="759"/>
      <c r="RIY37" s="759"/>
      <c r="RIZ37" s="759"/>
      <c r="RJA37" s="759"/>
      <c r="RJB37" s="759"/>
      <c r="RJC37" s="759"/>
      <c r="RJD37" s="759"/>
      <c r="RJE37" s="759"/>
      <c r="RJF37" s="759"/>
      <c r="RJG37" s="759"/>
      <c r="RJH37" s="759"/>
      <c r="RJI37" s="759"/>
      <c r="RJJ37" s="759"/>
      <c r="RJK37" s="759"/>
      <c r="RJL37" s="759"/>
      <c r="RJM37" s="759"/>
      <c r="RJN37" s="759"/>
      <c r="RJO37" s="759"/>
      <c r="RJP37" s="759"/>
      <c r="RJQ37" s="759"/>
      <c r="RJR37" s="759"/>
      <c r="RJS37" s="759"/>
      <c r="RJT37" s="759"/>
      <c r="RJU37" s="759"/>
      <c r="RJV37" s="759"/>
      <c r="RJW37" s="759"/>
      <c r="RJX37" s="759"/>
      <c r="RJY37" s="759"/>
      <c r="RJZ37" s="759"/>
      <c r="RKA37" s="759"/>
      <c r="RKB37" s="759"/>
      <c r="RKC37" s="759"/>
      <c r="RKD37" s="759"/>
      <c r="RKE37" s="759"/>
      <c r="RKF37" s="759"/>
      <c r="RKG37" s="759"/>
      <c r="RKH37" s="759"/>
      <c r="RKI37" s="759"/>
      <c r="RKJ37" s="759"/>
      <c r="RKK37" s="759"/>
      <c r="RKL37" s="759"/>
      <c r="RKM37" s="759"/>
      <c r="RKN37" s="759"/>
      <c r="RKO37" s="759"/>
      <c r="RKP37" s="759"/>
      <c r="RKQ37" s="759"/>
      <c r="RKR37" s="759"/>
      <c r="RKS37" s="759"/>
      <c r="RKT37" s="759"/>
      <c r="RKU37" s="759"/>
      <c r="RKV37" s="759"/>
      <c r="RKW37" s="759"/>
      <c r="RKX37" s="759"/>
      <c r="RKY37" s="759"/>
      <c r="RKZ37" s="759"/>
      <c r="RLA37" s="759"/>
      <c r="RLB37" s="759"/>
      <c r="RLC37" s="759"/>
      <c r="RLD37" s="759"/>
      <c r="RLE37" s="759"/>
      <c r="RLF37" s="759"/>
      <c r="RLG37" s="759"/>
      <c r="RLH37" s="759"/>
      <c r="RLI37" s="759"/>
      <c r="RLJ37" s="759"/>
      <c r="RLK37" s="759"/>
      <c r="RLL37" s="759"/>
      <c r="RLM37" s="759"/>
      <c r="RLN37" s="759"/>
      <c r="RLO37" s="759"/>
      <c r="RLP37" s="759"/>
      <c r="RLQ37" s="759"/>
      <c r="RLR37" s="759"/>
      <c r="RLS37" s="759"/>
      <c r="RLT37" s="759"/>
      <c r="RLU37" s="759"/>
      <c r="RLV37" s="759"/>
      <c r="RLW37" s="759"/>
      <c r="RLX37" s="759"/>
      <c r="RLY37" s="759"/>
      <c r="RLZ37" s="759"/>
      <c r="RMA37" s="759"/>
      <c r="RMB37" s="759"/>
      <c r="RMC37" s="759"/>
      <c r="RMD37" s="759"/>
      <c r="RME37" s="759"/>
      <c r="RMF37" s="759"/>
      <c r="RMG37" s="759"/>
      <c r="RMH37" s="759"/>
      <c r="RMI37" s="759"/>
      <c r="RMJ37" s="759"/>
      <c r="RMK37" s="759"/>
      <c r="RML37" s="759"/>
      <c r="RMM37" s="759"/>
      <c r="RMN37" s="759"/>
      <c r="RMO37" s="759"/>
      <c r="RMP37" s="759"/>
      <c r="RMQ37" s="759"/>
      <c r="RMR37" s="759"/>
      <c r="RMS37" s="759"/>
      <c r="RMT37" s="759"/>
      <c r="RMU37" s="759"/>
      <c r="RMV37" s="759"/>
      <c r="RMW37" s="759"/>
      <c r="RMX37" s="759"/>
      <c r="RMY37" s="759"/>
      <c r="RMZ37" s="759"/>
      <c r="RNA37" s="759"/>
      <c r="RNB37" s="759"/>
      <c r="RNC37" s="759"/>
      <c r="RND37" s="759"/>
      <c r="RNE37" s="759"/>
      <c r="RNF37" s="759"/>
      <c r="RNG37" s="759"/>
      <c r="RNH37" s="759"/>
      <c r="RNI37" s="759"/>
      <c r="RNJ37" s="759"/>
      <c r="RNK37" s="759"/>
      <c r="RNL37" s="759"/>
      <c r="RNM37" s="759"/>
      <c r="RNN37" s="759"/>
      <c r="RNO37" s="759"/>
      <c r="RNP37" s="759"/>
      <c r="RNQ37" s="759"/>
      <c r="RNR37" s="759"/>
      <c r="RNS37" s="759"/>
      <c r="RNT37" s="759"/>
      <c r="RNU37" s="759"/>
      <c r="RNV37" s="759"/>
      <c r="RNW37" s="759"/>
      <c r="RNX37" s="759"/>
      <c r="RNY37" s="759"/>
      <c r="RNZ37" s="759"/>
      <c r="ROA37" s="759"/>
      <c r="ROB37" s="759"/>
      <c r="ROC37" s="759"/>
      <c r="ROD37" s="759"/>
      <c r="ROE37" s="759"/>
      <c r="ROF37" s="759"/>
      <c r="ROG37" s="759"/>
      <c r="ROH37" s="759"/>
      <c r="ROI37" s="759"/>
      <c r="ROJ37" s="759"/>
      <c r="ROK37" s="759"/>
      <c r="ROL37" s="759"/>
      <c r="ROM37" s="759"/>
      <c r="RON37" s="759"/>
      <c r="ROO37" s="759"/>
      <c r="ROP37" s="759"/>
      <c r="ROQ37" s="759"/>
      <c r="ROR37" s="759"/>
      <c r="ROS37" s="759"/>
      <c r="ROT37" s="759"/>
      <c r="ROU37" s="759"/>
      <c r="ROV37" s="759"/>
      <c r="ROW37" s="759"/>
      <c r="ROX37" s="759"/>
      <c r="ROY37" s="759"/>
      <c r="ROZ37" s="759"/>
      <c r="RPA37" s="759"/>
      <c r="RPB37" s="759"/>
      <c r="RPC37" s="759"/>
      <c r="RPD37" s="759"/>
      <c r="RPE37" s="759"/>
      <c r="RPF37" s="759"/>
      <c r="RPG37" s="759"/>
      <c r="RPH37" s="759"/>
      <c r="RPI37" s="759"/>
      <c r="RPJ37" s="759"/>
      <c r="RPK37" s="759"/>
      <c r="RPL37" s="759"/>
      <c r="RPM37" s="759"/>
      <c r="RPN37" s="759"/>
      <c r="RPO37" s="759"/>
      <c r="RPP37" s="759"/>
      <c r="RPQ37" s="759"/>
      <c r="RPR37" s="759"/>
      <c r="RPS37" s="759"/>
      <c r="RPT37" s="759"/>
      <c r="RPU37" s="759"/>
      <c r="RPV37" s="759"/>
      <c r="RPW37" s="759"/>
      <c r="RPX37" s="759"/>
      <c r="RPY37" s="759"/>
      <c r="RPZ37" s="759"/>
      <c r="RQA37" s="759"/>
      <c r="RQB37" s="759"/>
      <c r="RQC37" s="759"/>
      <c r="RQD37" s="759"/>
      <c r="RQE37" s="759"/>
      <c r="RQF37" s="759"/>
      <c r="RQG37" s="759"/>
      <c r="RQH37" s="759"/>
      <c r="RQI37" s="759"/>
      <c r="RQJ37" s="759"/>
      <c r="RQK37" s="759"/>
      <c r="RQL37" s="759"/>
      <c r="RQM37" s="759"/>
      <c r="RQN37" s="759"/>
      <c r="RQO37" s="759"/>
      <c r="RQP37" s="759"/>
      <c r="RQQ37" s="759"/>
      <c r="RQR37" s="759"/>
      <c r="RQS37" s="759"/>
      <c r="RQT37" s="759"/>
      <c r="RQU37" s="759"/>
      <c r="RQV37" s="759"/>
      <c r="RQW37" s="759"/>
      <c r="RQX37" s="759"/>
      <c r="RQY37" s="759"/>
      <c r="RQZ37" s="759"/>
      <c r="RRA37" s="759"/>
      <c r="RRB37" s="759"/>
      <c r="RRC37" s="759"/>
      <c r="RRD37" s="759"/>
      <c r="RRE37" s="759"/>
      <c r="RRF37" s="759"/>
      <c r="RRG37" s="759"/>
      <c r="RRH37" s="759"/>
      <c r="RRI37" s="759"/>
      <c r="RRJ37" s="759"/>
      <c r="RRK37" s="759"/>
      <c r="RRL37" s="759"/>
      <c r="RRM37" s="759"/>
      <c r="RRN37" s="759"/>
      <c r="RRO37" s="759"/>
      <c r="RRP37" s="759"/>
      <c r="RRQ37" s="759"/>
      <c r="RRR37" s="759"/>
      <c r="RRS37" s="759"/>
      <c r="RRT37" s="759"/>
      <c r="RRU37" s="759"/>
      <c r="RRV37" s="759"/>
      <c r="RRW37" s="759"/>
      <c r="RRX37" s="759"/>
      <c r="RRY37" s="759"/>
      <c r="RRZ37" s="759"/>
      <c r="RSA37" s="759"/>
      <c r="RSB37" s="759"/>
      <c r="RSC37" s="759"/>
      <c r="RSD37" s="759"/>
      <c r="RSE37" s="759"/>
      <c r="RSF37" s="759"/>
      <c r="RSG37" s="759"/>
      <c r="RSH37" s="759"/>
      <c r="RSI37" s="759"/>
      <c r="RSJ37" s="759"/>
      <c r="RSK37" s="759"/>
      <c r="RSL37" s="759"/>
      <c r="RSM37" s="759"/>
      <c r="RSN37" s="759"/>
      <c r="RSO37" s="759"/>
      <c r="RSP37" s="759"/>
      <c r="RSQ37" s="759"/>
      <c r="RSR37" s="759"/>
      <c r="RSS37" s="759"/>
      <c r="RST37" s="759"/>
      <c r="RSU37" s="759"/>
      <c r="RSV37" s="759"/>
      <c r="RSW37" s="759"/>
      <c r="RSX37" s="759"/>
      <c r="RSY37" s="759"/>
      <c r="RSZ37" s="759"/>
      <c r="RTA37" s="759"/>
      <c r="RTB37" s="759"/>
      <c r="RTC37" s="759"/>
      <c r="RTD37" s="759"/>
      <c r="RTE37" s="759"/>
      <c r="RTF37" s="759"/>
      <c r="RTG37" s="759"/>
      <c r="RTH37" s="759"/>
      <c r="RTI37" s="759"/>
      <c r="RTJ37" s="759"/>
      <c r="RTK37" s="759"/>
      <c r="RTL37" s="759"/>
      <c r="RTM37" s="759"/>
      <c r="RTN37" s="759"/>
      <c r="RTO37" s="759"/>
      <c r="RTP37" s="759"/>
      <c r="RTQ37" s="759"/>
      <c r="RTR37" s="759"/>
      <c r="RTS37" s="759"/>
      <c r="RTT37" s="759"/>
      <c r="RTU37" s="759"/>
      <c r="RTV37" s="759"/>
      <c r="RTW37" s="759"/>
      <c r="RTX37" s="759"/>
      <c r="RTY37" s="759"/>
      <c r="RTZ37" s="759"/>
      <c r="RUA37" s="759"/>
      <c r="RUB37" s="759"/>
      <c r="RUC37" s="759"/>
      <c r="RUD37" s="759"/>
      <c r="RUE37" s="759"/>
      <c r="RUF37" s="759"/>
      <c r="RUG37" s="759"/>
      <c r="RUH37" s="759"/>
      <c r="RUI37" s="759"/>
      <c r="RUJ37" s="759"/>
      <c r="RUK37" s="759"/>
      <c r="RUL37" s="759"/>
      <c r="RUM37" s="759"/>
      <c r="RUN37" s="759"/>
      <c r="RUO37" s="759"/>
      <c r="RUP37" s="759"/>
      <c r="RUQ37" s="759"/>
      <c r="RUR37" s="759"/>
      <c r="RUS37" s="759"/>
      <c r="RUT37" s="759"/>
      <c r="RUU37" s="759"/>
      <c r="RUV37" s="759"/>
      <c r="RUW37" s="759"/>
      <c r="RUX37" s="759"/>
      <c r="RUY37" s="759"/>
      <c r="RUZ37" s="759"/>
      <c r="RVA37" s="759"/>
      <c r="RVB37" s="759"/>
      <c r="RVC37" s="759"/>
      <c r="RVD37" s="759"/>
      <c r="RVE37" s="759"/>
      <c r="RVF37" s="759"/>
      <c r="RVG37" s="759"/>
      <c r="RVH37" s="759"/>
      <c r="RVI37" s="759"/>
      <c r="RVJ37" s="759"/>
      <c r="RVK37" s="759"/>
      <c r="RVL37" s="759"/>
      <c r="RVM37" s="759"/>
      <c r="RVN37" s="759"/>
      <c r="RVO37" s="759"/>
      <c r="RVP37" s="759"/>
      <c r="RVQ37" s="759"/>
      <c r="RVR37" s="759"/>
      <c r="RVS37" s="759"/>
      <c r="RVT37" s="759"/>
      <c r="RVU37" s="759"/>
      <c r="RVV37" s="759"/>
      <c r="RVW37" s="759"/>
      <c r="RVX37" s="759"/>
      <c r="RVY37" s="759"/>
      <c r="RVZ37" s="759"/>
      <c r="RWA37" s="759"/>
      <c r="RWB37" s="759"/>
      <c r="RWC37" s="759"/>
      <c r="RWD37" s="759"/>
      <c r="RWE37" s="759"/>
      <c r="RWF37" s="759"/>
      <c r="RWG37" s="759"/>
      <c r="RWH37" s="759"/>
      <c r="RWI37" s="759"/>
      <c r="RWJ37" s="759"/>
      <c r="RWK37" s="759"/>
      <c r="RWL37" s="759"/>
      <c r="RWM37" s="759"/>
      <c r="RWN37" s="759"/>
      <c r="RWO37" s="759"/>
      <c r="RWP37" s="759"/>
      <c r="RWQ37" s="759"/>
      <c r="RWR37" s="759"/>
      <c r="RWS37" s="759"/>
      <c r="RWT37" s="759"/>
      <c r="RWU37" s="759"/>
      <c r="RWV37" s="759"/>
      <c r="RWW37" s="759"/>
      <c r="RWX37" s="759"/>
      <c r="RWY37" s="759"/>
      <c r="RWZ37" s="759"/>
      <c r="RXA37" s="759"/>
      <c r="RXB37" s="759"/>
      <c r="RXC37" s="759"/>
      <c r="RXD37" s="759"/>
      <c r="RXE37" s="759"/>
      <c r="RXF37" s="759"/>
      <c r="RXG37" s="759"/>
      <c r="RXH37" s="759"/>
      <c r="RXI37" s="759"/>
      <c r="RXJ37" s="759"/>
      <c r="RXK37" s="759"/>
      <c r="RXL37" s="759"/>
      <c r="RXM37" s="759"/>
      <c r="RXN37" s="759"/>
      <c r="RXO37" s="759"/>
      <c r="RXP37" s="759"/>
      <c r="RXQ37" s="759"/>
      <c r="RXR37" s="759"/>
      <c r="RXS37" s="759"/>
      <c r="RXT37" s="759"/>
      <c r="RXU37" s="759"/>
      <c r="RXV37" s="759"/>
      <c r="RXW37" s="759"/>
      <c r="RXX37" s="759"/>
      <c r="RXY37" s="759"/>
      <c r="RXZ37" s="759"/>
      <c r="RYA37" s="759"/>
      <c r="RYB37" s="759"/>
      <c r="RYC37" s="759"/>
      <c r="RYD37" s="759"/>
      <c r="RYE37" s="759"/>
      <c r="RYF37" s="759"/>
      <c r="RYG37" s="759"/>
      <c r="RYH37" s="759"/>
      <c r="RYI37" s="759"/>
      <c r="RYJ37" s="759"/>
      <c r="RYK37" s="759"/>
      <c r="RYL37" s="759"/>
      <c r="RYM37" s="759"/>
      <c r="RYN37" s="759"/>
      <c r="RYO37" s="759"/>
      <c r="RYP37" s="759"/>
      <c r="RYQ37" s="759"/>
      <c r="RYR37" s="759"/>
      <c r="RYS37" s="759"/>
      <c r="RYT37" s="759"/>
      <c r="RYU37" s="759"/>
      <c r="RYV37" s="759"/>
      <c r="RYW37" s="759"/>
      <c r="RYX37" s="759"/>
      <c r="RYY37" s="759"/>
      <c r="RYZ37" s="759"/>
      <c r="RZA37" s="759"/>
      <c r="RZB37" s="759"/>
      <c r="RZC37" s="759"/>
      <c r="RZD37" s="759"/>
      <c r="RZE37" s="759"/>
      <c r="RZF37" s="759"/>
      <c r="RZG37" s="759"/>
      <c r="RZH37" s="759"/>
      <c r="RZI37" s="759"/>
      <c r="RZJ37" s="759"/>
      <c r="RZK37" s="759"/>
      <c r="RZL37" s="759"/>
      <c r="RZM37" s="759"/>
      <c r="RZN37" s="759"/>
      <c r="RZO37" s="759"/>
      <c r="RZP37" s="759"/>
      <c r="RZQ37" s="759"/>
      <c r="RZR37" s="759"/>
      <c r="RZS37" s="759"/>
      <c r="RZT37" s="759"/>
      <c r="RZU37" s="759"/>
      <c r="RZV37" s="759"/>
      <c r="RZW37" s="759"/>
      <c r="RZX37" s="759"/>
      <c r="RZY37" s="759"/>
      <c r="RZZ37" s="759"/>
      <c r="SAA37" s="759"/>
      <c r="SAB37" s="759"/>
      <c r="SAC37" s="759"/>
      <c r="SAD37" s="759"/>
      <c r="SAE37" s="759"/>
      <c r="SAF37" s="759"/>
      <c r="SAG37" s="759"/>
      <c r="SAH37" s="759"/>
      <c r="SAI37" s="759"/>
      <c r="SAJ37" s="759"/>
      <c r="SAK37" s="759"/>
      <c r="SAL37" s="759"/>
      <c r="SAM37" s="759"/>
      <c r="SAN37" s="759"/>
      <c r="SAO37" s="759"/>
      <c r="SAP37" s="759"/>
      <c r="SAQ37" s="759"/>
      <c r="SAR37" s="759"/>
      <c r="SAS37" s="759"/>
      <c r="SAT37" s="759"/>
      <c r="SAU37" s="759"/>
      <c r="SAV37" s="759"/>
      <c r="SAW37" s="759"/>
      <c r="SAX37" s="759"/>
      <c r="SAY37" s="759"/>
      <c r="SAZ37" s="759"/>
      <c r="SBA37" s="759"/>
      <c r="SBB37" s="759"/>
      <c r="SBC37" s="759"/>
      <c r="SBD37" s="759"/>
      <c r="SBE37" s="759"/>
      <c r="SBF37" s="759"/>
      <c r="SBG37" s="759"/>
      <c r="SBH37" s="759"/>
      <c r="SBI37" s="759"/>
      <c r="SBJ37" s="759"/>
      <c r="SBK37" s="759"/>
      <c r="SBL37" s="759"/>
      <c r="SBM37" s="759"/>
      <c r="SBN37" s="759"/>
      <c r="SBO37" s="759"/>
      <c r="SBP37" s="759"/>
      <c r="SBQ37" s="759"/>
      <c r="SBR37" s="759"/>
      <c r="SBS37" s="759"/>
      <c r="SBT37" s="759"/>
      <c r="SBU37" s="759"/>
      <c r="SBV37" s="759"/>
      <c r="SBW37" s="759"/>
      <c r="SBX37" s="759"/>
      <c r="SBY37" s="759"/>
      <c r="SBZ37" s="759"/>
      <c r="SCA37" s="759"/>
      <c r="SCB37" s="759"/>
      <c r="SCC37" s="759"/>
      <c r="SCD37" s="759"/>
      <c r="SCE37" s="759"/>
      <c r="SCF37" s="759"/>
      <c r="SCG37" s="759"/>
      <c r="SCH37" s="759"/>
      <c r="SCI37" s="759"/>
      <c r="SCJ37" s="759"/>
      <c r="SCK37" s="759"/>
      <c r="SCL37" s="759"/>
      <c r="SCM37" s="759"/>
      <c r="SCN37" s="759"/>
      <c r="SCO37" s="759"/>
      <c r="SCP37" s="759"/>
      <c r="SCQ37" s="759"/>
      <c r="SCR37" s="759"/>
      <c r="SCS37" s="759"/>
      <c r="SCT37" s="759"/>
      <c r="SCU37" s="759"/>
      <c r="SCV37" s="759"/>
      <c r="SCW37" s="759"/>
      <c r="SCX37" s="759"/>
      <c r="SCY37" s="759"/>
      <c r="SCZ37" s="759"/>
      <c r="SDA37" s="759"/>
      <c r="SDB37" s="759"/>
      <c r="SDC37" s="759"/>
      <c r="SDD37" s="759"/>
      <c r="SDE37" s="759"/>
      <c r="SDF37" s="759"/>
      <c r="SDG37" s="759"/>
      <c r="SDH37" s="759"/>
      <c r="SDI37" s="759"/>
      <c r="SDJ37" s="759"/>
      <c r="SDK37" s="759"/>
      <c r="SDL37" s="759"/>
      <c r="SDM37" s="759"/>
      <c r="SDN37" s="759"/>
      <c r="SDO37" s="759"/>
      <c r="SDP37" s="759"/>
      <c r="SDQ37" s="759"/>
      <c r="SDR37" s="759"/>
      <c r="SDS37" s="759"/>
      <c r="SDT37" s="759"/>
      <c r="SDU37" s="759"/>
      <c r="SDV37" s="759"/>
      <c r="SDW37" s="759"/>
      <c r="SDX37" s="759"/>
      <c r="SDY37" s="759"/>
      <c r="SDZ37" s="759"/>
      <c r="SEA37" s="759"/>
      <c r="SEB37" s="759"/>
      <c r="SEC37" s="759"/>
      <c r="SED37" s="759"/>
      <c r="SEE37" s="759"/>
      <c r="SEF37" s="759"/>
      <c r="SEG37" s="759"/>
      <c r="SEH37" s="759"/>
      <c r="SEI37" s="759"/>
      <c r="SEJ37" s="759"/>
      <c r="SEK37" s="759"/>
      <c r="SEL37" s="759"/>
      <c r="SEM37" s="759"/>
      <c r="SEN37" s="759"/>
      <c r="SEO37" s="759"/>
      <c r="SEP37" s="759"/>
      <c r="SEQ37" s="759"/>
      <c r="SER37" s="759"/>
      <c r="SES37" s="759"/>
      <c r="SET37" s="759"/>
      <c r="SEU37" s="759"/>
      <c r="SEV37" s="759"/>
      <c r="SEW37" s="759"/>
      <c r="SEX37" s="759"/>
      <c r="SEY37" s="759"/>
      <c r="SEZ37" s="759"/>
      <c r="SFA37" s="759"/>
      <c r="SFB37" s="759"/>
      <c r="SFC37" s="759"/>
      <c r="SFD37" s="759"/>
      <c r="SFE37" s="759"/>
      <c r="SFF37" s="759"/>
      <c r="SFG37" s="759"/>
      <c r="SFH37" s="759"/>
      <c r="SFI37" s="759"/>
      <c r="SFJ37" s="759"/>
      <c r="SFK37" s="759"/>
      <c r="SFL37" s="759"/>
      <c r="SFM37" s="759"/>
      <c r="SFN37" s="759"/>
      <c r="SFO37" s="759"/>
      <c r="SFP37" s="759"/>
      <c r="SFQ37" s="759"/>
      <c r="SFR37" s="759"/>
      <c r="SFS37" s="759"/>
      <c r="SFT37" s="759"/>
      <c r="SFU37" s="759"/>
      <c r="SFV37" s="759"/>
      <c r="SFW37" s="759"/>
      <c r="SFX37" s="759"/>
      <c r="SFY37" s="759"/>
      <c r="SFZ37" s="759"/>
      <c r="SGA37" s="759"/>
      <c r="SGB37" s="759"/>
      <c r="SGC37" s="759"/>
      <c r="SGD37" s="759"/>
      <c r="SGE37" s="759"/>
      <c r="SGF37" s="759"/>
      <c r="SGG37" s="759"/>
      <c r="SGH37" s="759"/>
      <c r="SGI37" s="759"/>
      <c r="SGJ37" s="759"/>
      <c r="SGK37" s="759"/>
      <c r="SGL37" s="759"/>
      <c r="SGM37" s="759"/>
      <c r="SGN37" s="759"/>
      <c r="SGO37" s="759"/>
      <c r="SGP37" s="759"/>
      <c r="SGQ37" s="759"/>
      <c r="SGR37" s="759"/>
      <c r="SGS37" s="759"/>
      <c r="SGT37" s="759"/>
      <c r="SGU37" s="759"/>
      <c r="SGV37" s="759"/>
      <c r="SGW37" s="759"/>
      <c r="SGX37" s="759"/>
      <c r="SGY37" s="759"/>
      <c r="SGZ37" s="759"/>
      <c r="SHA37" s="759"/>
      <c r="SHB37" s="759"/>
      <c r="SHC37" s="759"/>
      <c r="SHD37" s="759"/>
      <c r="SHE37" s="759"/>
      <c r="SHF37" s="759"/>
      <c r="SHG37" s="759"/>
      <c r="SHH37" s="759"/>
      <c r="SHI37" s="759"/>
      <c r="SHJ37" s="759"/>
      <c r="SHK37" s="759"/>
      <c r="SHL37" s="759"/>
      <c r="SHM37" s="759"/>
      <c r="SHN37" s="759"/>
      <c r="SHO37" s="759"/>
      <c r="SHP37" s="759"/>
      <c r="SHQ37" s="759"/>
      <c r="SHR37" s="759"/>
      <c r="SHS37" s="759"/>
      <c r="SHT37" s="759"/>
      <c r="SHU37" s="759"/>
      <c r="SHV37" s="759"/>
      <c r="SHW37" s="759"/>
      <c r="SHX37" s="759"/>
      <c r="SHY37" s="759"/>
      <c r="SHZ37" s="759"/>
      <c r="SIA37" s="759"/>
      <c r="SIB37" s="759"/>
      <c r="SIC37" s="759"/>
      <c r="SID37" s="759"/>
      <c r="SIE37" s="759"/>
      <c r="SIF37" s="759"/>
      <c r="SIG37" s="759"/>
      <c r="SIH37" s="759"/>
      <c r="SII37" s="759"/>
      <c r="SIJ37" s="759"/>
      <c r="SIK37" s="759"/>
      <c r="SIL37" s="759"/>
      <c r="SIM37" s="759"/>
      <c r="SIN37" s="759"/>
      <c r="SIO37" s="759"/>
      <c r="SIP37" s="759"/>
      <c r="SIQ37" s="759"/>
      <c r="SIR37" s="759"/>
      <c r="SIS37" s="759"/>
      <c r="SIT37" s="759"/>
      <c r="SIU37" s="759"/>
      <c r="SIV37" s="759"/>
      <c r="SIW37" s="759"/>
      <c r="SIX37" s="759"/>
      <c r="SIY37" s="759"/>
      <c r="SIZ37" s="759"/>
      <c r="SJA37" s="759"/>
      <c r="SJB37" s="759"/>
      <c r="SJC37" s="759"/>
      <c r="SJD37" s="759"/>
      <c r="SJE37" s="759"/>
      <c r="SJF37" s="759"/>
      <c r="SJG37" s="759"/>
      <c r="SJH37" s="759"/>
      <c r="SJI37" s="759"/>
      <c r="SJJ37" s="759"/>
      <c r="SJK37" s="759"/>
      <c r="SJL37" s="759"/>
      <c r="SJM37" s="759"/>
      <c r="SJN37" s="759"/>
      <c r="SJO37" s="759"/>
      <c r="SJP37" s="759"/>
      <c r="SJQ37" s="759"/>
      <c r="SJR37" s="759"/>
      <c r="SJS37" s="759"/>
      <c r="SJT37" s="759"/>
      <c r="SJU37" s="759"/>
      <c r="SJV37" s="759"/>
      <c r="SJW37" s="759"/>
      <c r="SJX37" s="759"/>
      <c r="SJY37" s="759"/>
      <c r="SJZ37" s="759"/>
      <c r="SKA37" s="759"/>
      <c r="SKB37" s="759"/>
      <c r="SKC37" s="759"/>
      <c r="SKD37" s="759"/>
      <c r="SKE37" s="759"/>
      <c r="SKF37" s="759"/>
      <c r="SKG37" s="759"/>
      <c r="SKH37" s="759"/>
      <c r="SKI37" s="759"/>
      <c r="SKJ37" s="759"/>
      <c r="SKK37" s="759"/>
      <c r="SKL37" s="759"/>
      <c r="SKM37" s="759"/>
      <c r="SKN37" s="759"/>
      <c r="SKO37" s="759"/>
      <c r="SKP37" s="759"/>
      <c r="SKQ37" s="759"/>
      <c r="SKR37" s="759"/>
      <c r="SKS37" s="759"/>
      <c r="SKT37" s="759"/>
      <c r="SKU37" s="759"/>
      <c r="SKV37" s="759"/>
      <c r="SKW37" s="759"/>
      <c r="SKX37" s="759"/>
      <c r="SKY37" s="759"/>
      <c r="SKZ37" s="759"/>
      <c r="SLA37" s="759"/>
      <c r="SLB37" s="759"/>
      <c r="SLC37" s="759"/>
      <c r="SLD37" s="759"/>
      <c r="SLE37" s="759"/>
      <c r="SLF37" s="759"/>
      <c r="SLG37" s="759"/>
      <c r="SLH37" s="759"/>
      <c r="SLI37" s="759"/>
      <c r="SLJ37" s="759"/>
      <c r="SLK37" s="759"/>
      <c r="SLL37" s="759"/>
      <c r="SLM37" s="759"/>
      <c r="SLN37" s="759"/>
      <c r="SLO37" s="759"/>
      <c r="SLP37" s="759"/>
      <c r="SLQ37" s="759"/>
      <c r="SLR37" s="759"/>
      <c r="SLS37" s="759"/>
      <c r="SLT37" s="759"/>
      <c r="SLU37" s="759"/>
      <c r="SLV37" s="759"/>
      <c r="SLW37" s="759"/>
      <c r="SLX37" s="759"/>
      <c r="SLY37" s="759"/>
      <c r="SLZ37" s="759"/>
      <c r="SMA37" s="759"/>
      <c r="SMB37" s="759"/>
      <c r="SMC37" s="759"/>
      <c r="SMD37" s="759"/>
      <c r="SME37" s="759"/>
      <c r="SMF37" s="759"/>
      <c r="SMG37" s="759"/>
      <c r="SMH37" s="759"/>
      <c r="SMI37" s="759"/>
      <c r="SMJ37" s="759"/>
      <c r="SMK37" s="759"/>
      <c r="SML37" s="759"/>
      <c r="SMM37" s="759"/>
      <c r="SMN37" s="759"/>
      <c r="SMO37" s="759"/>
      <c r="SMP37" s="759"/>
      <c r="SMQ37" s="759"/>
      <c r="SMR37" s="759"/>
      <c r="SMS37" s="759"/>
      <c r="SMT37" s="759"/>
      <c r="SMU37" s="759"/>
      <c r="SMV37" s="759"/>
      <c r="SMW37" s="759"/>
      <c r="SMX37" s="759"/>
      <c r="SMY37" s="759"/>
      <c r="SMZ37" s="759"/>
      <c r="SNA37" s="759"/>
      <c r="SNB37" s="759"/>
      <c r="SNC37" s="759"/>
      <c r="SND37" s="759"/>
      <c r="SNE37" s="759"/>
      <c r="SNF37" s="759"/>
      <c r="SNG37" s="759"/>
      <c r="SNH37" s="759"/>
      <c r="SNI37" s="759"/>
      <c r="SNJ37" s="759"/>
      <c r="SNK37" s="759"/>
      <c r="SNL37" s="759"/>
      <c r="SNM37" s="759"/>
      <c r="SNN37" s="759"/>
      <c r="SNO37" s="759"/>
      <c r="SNP37" s="759"/>
      <c r="SNQ37" s="759"/>
      <c r="SNR37" s="759"/>
      <c r="SNS37" s="759"/>
      <c r="SNT37" s="759"/>
      <c r="SNU37" s="759"/>
      <c r="SNV37" s="759"/>
      <c r="SNW37" s="759"/>
      <c r="SNX37" s="759"/>
      <c r="SNY37" s="759"/>
      <c r="SNZ37" s="759"/>
      <c r="SOA37" s="759"/>
      <c r="SOB37" s="759"/>
      <c r="SOC37" s="759"/>
      <c r="SOD37" s="759"/>
      <c r="SOE37" s="759"/>
      <c r="SOF37" s="759"/>
      <c r="SOG37" s="759"/>
      <c r="SOH37" s="759"/>
      <c r="SOI37" s="759"/>
      <c r="SOJ37" s="759"/>
      <c r="SOK37" s="759"/>
      <c r="SOL37" s="759"/>
      <c r="SOM37" s="759"/>
      <c r="SON37" s="759"/>
      <c r="SOO37" s="759"/>
      <c r="SOP37" s="759"/>
      <c r="SOQ37" s="759"/>
      <c r="SOR37" s="759"/>
      <c r="SOS37" s="759"/>
      <c r="SOT37" s="759"/>
      <c r="SOU37" s="759"/>
      <c r="SOV37" s="759"/>
      <c r="SOW37" s="759"/>
      <c r="SOX37" s="759"/>
      <c r="SOY37" s="759"/>
      <c r="SOZ37" s="759"/>
      <c r="SPA37" s="759"/>
      <c r="SPB37" s="759"/>
      <c r="SPC37" s="759"/>
      <c r="SPD37" s="759"/>
      <c r="SPE37" s="759"/>
      <c r="SPF37" s="759"/>
      <c r="SPG37" s="759"/>
      <c r="SPH37" s="759"/>
      <c r="SPI37" s="759"/>
      <c r="SPJ37" s="759"/>
      <c r="SPK37" s="759"/>
      <c r="SPL37" s="759"/>
      <c r="SPM37" s="759"/>
      <c r="SPN37" s="759"/>
      <c r="SPO37" s="759"/>
      <c r="SPP37" s="759"/>
      <c r="SPQ37" s="759"/>
      <c r="SPR37" s="759"/>
      <c r="SPS37" s="759"/>
      <c r="SPT37" s="759"/>
      <c r="SPU37" s="759"/>
      <c r="SPV37" s="759"/>
      <c r="SPW37" s="759"/>
      <c r="SPX37" s="759"/>
      <c r="SPY37" s="759"/>
      <c r="SPZ37" s="759"/>
      <c r="SQA37" s="759"/>
      <c r="SQB37" s="759"/>
      <c r="SQC37" s="759"/>
      <c r="SQD37" s="759"/>
      <c r="SQE37" s="759"/>
      <c r="SQF37" s="759"/>
      <c r="SQG37" s="759"/>
      <c r="SQH37" s="759"/>
      <c r="SQI37" s="759"/>
      <c r="SQJ37" s="759"/>
      <c r="SQK37" s="759"/>
      <c r="SQL37" s="759"/>
      <c r="SQM37" s="759"/>
      <c r="SQN37" s="759"/>
      <c r="SQO37" s="759"/>
      <c r="SQP37" s="759"/>
      <c r="SQQ37" s="759"/>
      <c r="SQR37" s="759"/>
      <c r="SQS37" s="759"/>
      <c r="SQT37" s="759"/>
      <c r="SQU37" s="759"/>
      <c r="SQV37" s="759"/>
      <c r="SQW37" s="759"/>
      <c r="SQX37" s="759"/>
      <c r="SQY37" s="759"/>
      <c r="SQZ37" s="759"/>
      <c r="SRA37" s="759"/>
      <c r="SRB37" s="759"/>
      <c r="SRC37" s="759"/>
      <c r="SRD37" s="759"/>
      <c r="SRE37" s="759"/>
      <c r="SRF37" s="759"/>
      <c r="SRG37" s="759"/>
      <c r="SRH37" s="759"/>
      <c r="SRI37" s="759"/>
      <c r="SRJ37" s="759"/>
      <c r="SRK37" s="759"/>
      <c r="SRL37" s="759"/>
      <c r="SRM37" s="759"/>
      <c r="SRN37" s="759"/>
      <c r="SRO37" s="759"/>
      <c r="SRP37" s="759"/>
      <c r="SRQ37" s="759"/>
      <c r="SRR37" s="759"/>
      <c r="SRS37" s="759"/>
      <c r="SRT37" s="759"/>
      <c r="SRU37" s="759"/>
      <c r="SRV37" s="759"/>
      <c r="SRW37" s="759"/>
      <c r="SRX37" s="759"/>
      <c r="SRY37" s="759"/>
      <c r="SRZ37" s="759"/>
      <c r="SSA37" s="759"/>
      <c r="SSB37" s="759"/>
      <c r="SSC37" s="759"/>
      <c r="SSD37" s="759"/>
      <c r="SSE37" s="759"/>
      <c r="SSF37" s="759"/>
      <c r="SSG37" s="759"/>
      <c r="SSH37" s="759"/>
      <c r="SSI37" s="759"/>
      <c r="SSJ37" s="759"/>
      <c r="SSK37" s="759"/>
      <c r="SSL37" s="759"/>
      <c r="SSM37" s="759"/>
      <c r="SSN37" s="759"/>
      <c r="SSO37" s="759"/>
      <c r="SSP37" s="759"/>
      <c r="SSQ37" s="759"/>
      <c r="SSR37" s="759"/>
      <c r="SSS37" s="759"/>
      <c r="SST37" s="759"/>
      <c r="SSU37" s="759"/>
      <c r="SSV37" s="759"/>
      <c r="SSW37" s="759"/>
      <c r="SSX37" s="759"/>
      <c r="SSY37" s="759"/>
      <c r="SSZ37" s="759"/>
      <c r="STA37" s="759"/>
      <c r="STB37" s="759"/>
      <c r="STC37" s="759"/>
      <c r="STD37" s="759"/>
      <c r="STE37" s="759"/>
      <c r="STF37" s="759"/>
      <c r="STG37" s="759"/>
      <c r="STH37" s="759"/>
      <c r="STI37" s="759"/>
      <c r="STJ37" s="759"/>
      <c r="STK37" s="759"/>
      <c r="STL37" s="759"/>
      <c r="STM37" s="759"/>
      <c r="STN37" s="759"/>
      <c r="STO37" s="759"/>
      <c r="STP37" s="759"/>
      <c r="STQ37" s="759"/>
      <c r="STR37" s="759"/>
      <c r="STS37" s="759"/>
      <c r="STT37" s="759"/>
      <c r="STU37" s="759"/>
      <c r="STV37" s="759"/>
      <c r="STW37" s="759"/>
      <c r="STX37" s="759"/>
      <c r="STY37" s="759"/>
      <c r="STZ37" s="759"/>
      <c r="SUA37" s="759"/>
      <c r="SUB37" s="759"/>
      <c r="SUC37" s="759"/>
      <c r="SUD37" s="759"/>
      <c r="SUE37" s="759"/>
      <c r="SUF37" s="759"/>
      <c r="SUG37" s="759"/>
      <c r="SUH37" s="759"/>
      <c r="SUI37" s="759"/>
      <c r="SUJ37" s="759"/>
      <c r="SUK37" s="759"/>
      <c r="SUL37" s="759"/>
      <c r="SUM37" s="759"/>
      <c r="SUN37" s="759"/>
      <c r="SUO37" s="759"/>
      <c r="SUP37" s="759"/>
      <c r="SUQ37" s="759"/>
      <c r="SUR37" s="759"/>
      <c r="SUS37" s="759"/>
      <c r="SUT37" s="759"/>
      <c r="SUU37" s="759"/>
      <c r="SUV37" s="759"/>
      <c r="SUW37" s="759"/>
      <c r="SUX37" s="759"/>
      <c r="SUY37" s="759"/>
      <c r="SUZ37" s="759"/>
      <c r="SVA37" s="759"/>
      <c r="SVB37" s="759"/>
      <c r="SVC37" s="759"/>
      <c r="SVD37" s="759"/>
      <c r="SVE37" s="759"/>
      <c r="SVF37" s="759"/>
      <c r="SVG37" s="759"/>
      <c r="SVH37" s="759"/>
      <c r="SVI37" s="759"/>
      <c r="SVJ37" s="759"/>
      <c r="SVK37" s="759"/>
      <c r="SVL37" s="759"/>
      <c r="SVM37" s="759"/>
      <c r="SVN37" s="759"/>
      <c r="SVO37" s="759"/>
      <c r="SVP37" s="759"/>
      <c r="SVQ37" s="759"/>
      <c r="SVR37" s="759"/>
      <c r="SVS37" s="759"/>
      <c r="SVT37" s="759"/>
      <c r="SVU37" s="759"/>
      <c r="SVV37" s="759"/>
      <c r="SVW37" s="759"/>
      <c r="SVX37" s="759"/>
      <c r="SVY37" s="759"/>
      <c r="SVZ37" s="759"/>
      <c r="SWA37" s="759"/>
      <c r="SWB37" s="759"/>
      <c r="SWC37" s="759"/>
      <c r="SWD37" s="759"/>
      <c r="SWE37" s="759"/>
      <c r="SWF37" s="759"/>
      <c r="SWG37" s="759"/>
      <c r="SWH37" s="759"/>
      <c r="SWI37" s="759"/>
      <c r="SWJ37" s="759"/>
      <c r="SWK37" s="759"/>
      <c r="SWL37" s="759"/>
      <c r="SWM37" s="759"/>
      <c r="SWN37" s="759"/>
      <c r="SWO37" s="759"/>
      <c r="SWP37" s="759"/>
      <c r="SWQ37" s="759"/>
      <c r="SWR37" s="759"/>
      <c r="SWS37" s="759"/>
      <c r="SWT37" s="759"/>
      <c r="SWU37" s="759"/>
      <c r="SWV37" s="759"/>
      <c r="SWW37" s="759"/>
      <c r="SWX37" s="759"/>
      <c r="SWY37" s="759"/>
      <c r="SWZ37" s="759"/>
      <c r="SXA37" s="759"/>
      <c r="SXB37" s="759"/>
      <c r="SXC37" s="759"/>
      <c r="SXD37" s="759"/>
      <c r="SXE37" s="759"/>
      <c r="SXF37" s="759"/>
      <c r="SXG37" s="759"/>
      <c r="SXH37" s="759"/>
      <c r="SXI37" s="759"/>
      <c r="SXJ37" s="759"/>
      <c r="SXK37" s="759"/>
      <c r="SXL37" s="759"/>
      <c r="SXM37" s="759"/>
      <c r="SXN37" s="759"/>
      <c r="SXO37" s="759"/>
      <c r="SXP37" s="759"/>
      <c r="SXQ37" s="759"/>
      <c r="SXR37" s="759"/>
      <c r="SXS37" s="759"/>
      <c r="SXT37" s="759"/>
      <c r="SXU37" s="759"/>
      <c r="SXV37" s="759"/>
      <c r="SXW37" s="759"/>
      <c r="SXX37" s="759"/>
      <c r="SXY37" s="759"/>
      <c r="SXZ37" s="759"/>
      <c r="SYA37" s="759"/>
      <c r="SYB37" s="759"/>
      <c r="SYC37" s="759"/>
      <c r="SYD37" s="759"/>
      <c r="SYE37" s="759"/>
      <c r="SYF37" s="759"/>
      <c r="SYG37" s="759"/>
      <c r="SYH37" s="759"/>
      <c r="SYI37" s="759"/>
      <c r="SYJ37" s="759"/>
      <c r="SYK37" s="759"/>
      <c r="SYL37" s="759"/>
      <c r="SYM37" s="759"/>
      <c r="SYN37" s="759"/>
      <c r="SYO37" s="759"/>
      <c r="SYP37" s="759"/>
      <c r="SYQ37" s="759"/>
      <c r="SYR37" s="759"/>
      <c r="SYS37" s="759"/>
      <c r="SYT37" s="759"/>
      <c r="SYU37" s="759"/>
      <c r="SYV37" s="759"/>
      <c r="SYW37" s="759"/>
      <c r="SYX37" s="759"/>
      <c r="SYY37" s="759"/>
      <c r="SYZ37" s="759"/>
      <c r="SZA37" s="759"/>
      <c r="SZB37" s="759"/>
      <c r="SZC37" s="759"/>
      <c r="SZD37" s="759"/>
      <c r="SZE37" s="759"/>
      <c r="SZF37" s="759"/>
      <c r="SZG37" s="759"/>
      <c r="SZH37" s="759"/>
      <c r="SZI37" s="759"/>
      <c r="SZJ37" s="759"/>
      <c r="SZK37" s="759"/>
      <c r="SZL37" s="759"/>
      <c r="SZM37" s="759"/>
      <c r="SZN37" s="759"/>
      <c r="SZO37" s="759"/>
      <c r="SZP37" s="759"/>
      <c r="SZQ37" s="759"/>
      <c r="SZR37" s="759"/>
      <c r="SZS37" s="759"/>
      <c r="SZT37" s="759"/>
      <c r="SZU37" s="759"/>
      <c r="SZV37" s="759"/>
      <c r="SZW37" s="759"/>
      <c r="SZX37" s="759"/>
      <c r="SZY37" s="759"/>
      <c r="SZZ37" s="759"/>
      <c r="TAA37" s="759"/>
      <c r="TAB37" s="759"/>
      <c r="TAC37" s="759"/>
      <c r="TAD37" s="759"/>
      <c r="TAE37" s="759"/>
      <c r="TAF37" s="759"/>
      <c r="TAG37" s="759"/>
      <c r="TAH37" s="759"/>
      <c r="TAI37" s="759"/>
      <c r="TAJ37" s="759"/>
      <c r="TAK37" s="759"/>
      <c r="TAL37" s="759"/>
      <c r="TAM37" s="759"/>
      <c r="TAN37" s="759"/>
      <c r="TAO37" s="759"/>
      <c r="TAP37" s="759"/>
      <c r="TAQ37" s="759"/>
      <c r="TAR37" s="759"/>
      <c r="TAS37" s="759"/>
      <c r="TAT37" s="759"/>
      <c r="TAU37" s="759"/>
      <c r="TAV37" s="759"/>
      <c r="TAW37" s="759"/>
      <c r="TAX37" s="759"/>
      <c r="TAY37" s="759"/>
      <c r="TAZ37" s="759"/>
      <c r="TBA37" s="759"/>
      <c r="TBB37" s="759"/>
      <c r="TBC37" s="759"/>
      <c r="TBD37" s="759"/>
      <c r="TBE37" s="759"/>
      <c r="TBF37" s="759"/>
      <c r="TBG37" s="759"/>
      <c r="TBH37" s="759"/>
      <c r="TBI37" s="759"/>
      <c r="TBJ37" s="759"/>
      <c r="TBK37" s="759"/>
      <c r="TBL37" s="759"/>
      <c r="TBM37" s="759"/>
      <c r="TBN37" s="759"/>
      <c r="TBO37" s="759"/>
      <c r="TBP37" s="759"/>
      <c r="TBQ37" s="759"/>
      <c r="TBR37" s="759"/>
      <c r="TBS37" s="759"/>
      <c r="TBT37" s="759"/>
      <c r="TBU37" s="759"/>
      <c r="TBV37" s="759"/>
      <c r="TBW37" s="759"/>
      <c r="TBX37" s="759"/>
      <c r="TBY37" s="759"/>
      <c r="TBZ37" s="759"/>
      <c r="TCA37" s="759"/>
      <c r="TCB37" s="759"/>
      <c r="TCC37" s="759"/>
      <c r="TCD37" s="759"/>
      <c r="TCE37" s="759"/>
      <c r="TCF37" s="759"/>
      <c r="TCG37" s="759"/>
      <c r="TCH37" s="759"/>
      <c r="TCI37" s="759"/>
      <c r="TCJ37" s="759"/>
      <c r="TCK37" s="759"/>
      <c r="TCL37" s="759"/>
      <c r="TCM37" s="759"/>
      <c r="TCN37" s="759"/>
      <c r="TCO37" s="759"/>
      <c r="TCP37" s="759"/>
      <c r="TCQ37" s="759"/>
      <c r="TCR37" s="759"/>
      <c r="TCS37" s="759"/>
      <c r="TCT37" s="759"/>
      <c r="TCU37" s="759"/>
      <c r="TCV37" s="759"/>
      <c r="TCW37" s="759"/>
      <c r="TCX37" s="759"/>
      <c r="TCY37" s="759"/>
      <c r="TCZ37" s="759"/>
      <c r="TDA37" s="759"/>
      <c r="TDB37" s="759"/>
      <c r="TDC37" s="759"/>
      <c r="TDD37" s="759"/>
      <c r="TDE37" s="759"/>
      <c r="TDF37" s="759"/>
      <c r="TDG37" s="759"/>
      <c r="TDH37" s="759"/>
      <c r="TDI37" s="759"/>
      <c r="TDJ37" s="759"/>
      <c r="TDK37" s="759"/>
      <c r="TDL37" s="759"/>
      <c r="TDM37" s="759"/>
      <c r="TDN37" s="759"/>
      <c r="TDO37" s="759"/>
      <c r="TDP37" s="759"/>
      <c r="TDQ37" s="759"/>
      <c r="TDR37" s="759"/>
      <c r="TDS37" s="759"/>
      <c r="TDT37" s="759"/>
      <c r="TDU37" s="759"/>
      <c r="TDV37" s="759"/>
      <c r="TDW37" s="759"/>
      <c r="TDX37" s="759"/>
      <c r="TDY37" s="759"/>
      <c r="TDZ37" s="759"/>
      <c r="TEA37" s="759"/>
      <c r="TEB37" s="759"/>
      <c r="TEC37" s="759"/>
      <c r="TED37" s="759"/>
      <c r="TEE37" s="759"/>
      <c r="TEF37" s="759"/>
      <c r="TEG37" s="759"/>
      <c r="TEH37" s="759"/>
      <c r="TEI37" s="759"/>
      <c r="TEJ37" s="759"/>
      <c r="TEK37" s="759"/>
      <c r="TEL37" s="759"/>
      <c r="TEM37" s="759"/>
      <c r="TEN37" s="759"/>
      <c r="TEO37" s="759"/>
      <c r="TEP37" s="759"/>
      <c r="TEQ37" s="759"/>
      <c r="TER37" s="759"/>
      <c r="TES37" s="759"/>
      <c r="TET37" s="759"/>
      <c r="TEU37" s="759"/>
      <c r="TEV37" s="759"/>
      <c r="TEW37" s="759"/>
      <c r="TEX37" s="759"/>
      <c r="TEY37" s="759"/>
      <c r="TEZ37" s="759"/>
      <c r="TFA37" s="759"/>
      <c r="TFB37" s="759"/>
      <c r="TFC37" s="759"/>
      <c r="TFD37" s="759"/>
      <c r="TFE37" s="759"/>
      <c r="TFF37" s="759"/>
      <c r="TFG37" s="759"/>
      <c r="TFH37" s="759"/>
      <c r="TFI37" s="759"/>
      <c r="TFJ37" s="759"/>
      <c r="TFK37" s="759"/>
      <c r="TFL37" s="759"/>
      <c r="TFM37" s="759"/>
      <c r="TFN37" s="759"/>
      <c r="TFO37" s="759"/>
      <c r="TFP37" s="759"/>
      <c r="TFQ37" s="759"/>
      <c r="TFR37" s="759"/>
      <c r="TFS37" s="759"/>
      <c r="TFT37" s="759"/>
      <c r="TFU37" s="759"/>
      <c r="TFV37" s="759"/>
      <c r="TFW37" s="759"/>
      <c r="TFX37" s="759"/>
      <c r="TFY37" s="759"/>
      <c r="TFZ37" s="759"/>
      <c r="TGA37" s="759"/>
      <c r="TGB37" s="759"/>
      <c r="TGC37" s="759"/>
      <c r="TGD37" s="759"/>
      <c r="TGE37" s="759"/>
      <c r="TGF37" s="759"/>
      <c r="TGG37" s="759"/>
      <c r="TGH37" s="759"/>
      <c r="TGI37" s="759"/>
      <c r="TGJ37" s="759"/>
      <c r="TGK37" s="759"/>
      <c r="TGL37" s="759"/>
      <c r="TGM37" s="759"/>
      <c r="TGN37" s="759"/>
      <c r="TGO37" s="759"/>
      <c r="TGP37" s="759"/>
      <c r="TGQ37" s="759"/>
      <c r="TGR37" s="759"/>
      <c r="TGS37" s="759"/>
      <c r="TGT37" s="759"/>
      <c r="TGU37" s="759"/>
      <c r="TGV37" s="759"/>
      <c r="TGW37" s="759"/>
      <c r="TGX37" s="759"/>
      <c r="TGY37" s="759"/>
      <c r="TGZ37" s="759"/>
      <c r="THA37" s="759"/>
      <c r="THB37" s="759"/>
      <c r="THC37" s="759"/>
      <c r="THD37" s="759"/>
      <c r="THE37" s="759"/>
      <c r="THF37" s="759"/>
      <c r="THG37" s="759"/>
      <c r="THH37" s="759"/>
      <c r="THI37" s="759"/>
      <c r="THJ37" s="759"/>
      <c r="THK37" s="759"/>
      <c r="THL37" s="759"/>
      <c r="THM37" s="759"/>
      <c r="THN37" s="759"/>
      <c r="THO37" s="759"/>
      <c r="THP37" s="759"/>
      <c r="THQ37" s="759"/>
      <c r="THR37" s="759"/>
      <c r="THS37" s="759"/>
      <c r="THT37" s="759"/>
      <c r="THU37" s="759"/>
      <c r="THV37" s="759"/>
      <c r="THW37" s="759"/>
      <c r="THX37" s="759"/>
      <c r="THY37" s="759"/>
      <c r="THZ37" s="759"/>
      <c r="TIA37" s="759"/>
      <c r="TIB37" s="759"/>
      <c r="TIC37" s="759"/>
      <c r="TID37" s="759"/>
      <c r="TIE37" s="759"/>
      <c r="TIF37" s="759"/>
      <c r="TIG37" s="759"/>
      <c r="TIH37" s="759"/>
      <c r="TII37" s="759"/>
      <c r="TIJ37" s="759"/>
      <c r="TIK37" s="759"/>
      <c r="TIL37" s="759"/>
      <c r="TIM37" s="759"/>
      <c r="TIN37" s="759"/>
      <c r="TIO37" s="759"/>
      <c r="TIP37" s="759"/>
      <c r="TIQ37" s="759"/>
      <c r="TIR37" s="759"/>
      <c r="TIS37" s="759"/>
      <c r="TIT37" s="759"/>
      <c r="TIU37" s="759"/>
      <c r="TIV37" s="759"/>
      <c r="TIW37" s="759"/>
      <c r="TIX37" s="759"/>
      <c r="TIY37" s="759"/>
      <c r="TIZ37" s="759"/>
      <c r="TJA37" s="759"/>
      <c r="TJB37" s="759"/>
      <c r="TJC37" s="759"/>
      <c r="TJD37" s="759"/>
      <c r="TJE37" s="759"/>
      <c r="TJF37" s="759"/>
      <c r="TJG37" s="759"/>
      <c r="TJH37" s="759"/>
      <c r="TJI37" s="759"/>
      <c r="TJJ37" s="759"/>
      <c r="TJK37" s="759"/>
      <c r="TJL37" s="759"/>
      <c r="TJM37" s="759"/>
      <c r="TJN37" s="759"/>
      <c r="TJO37" s="759"/>
      <c r="TJP37" s="759"/>
      <c r="TJQ37" s="759"/>
      <c r="TJR37" s="759"/>
      <c r="TJS37" s="759"/>
      <c r="TJT37" s="759"/>
      <c r="TJU37" s="759"/>
      <c r="TJV37" s="759"/>
      <c r="TJW37" s="759"/>
      <c r="TJX37" s="759"/>
      <c r="TJY37" s="759"/>
      <c r="TJZ37" s="759"/>
      <c r="TKA37" s="759"/>
      <c r="TKB37" s="759"/>
      <c r="TKC37" s="759"/>
      <c r="TKD37" s="759"/>
      <c r="TKE37" s="759"/>
      <c r="TKF37" s="759"/>
      <c r="TKG37" s="759"/>
      <c r="TKH37" s="759"/>
      <c r="TKI37" s="759"/>
      <c r="TKJ37" s="759"/>
      <c r="TKK37" s="759"/>
      <c r="TKL37" s="759"/>
      <c r="TKM37" s="759"/>
      <c r="TKN37" s="759"/>
      <c r="TKO37" s="759"/>
      <c r="TKP37" s="759"/>
      <c r="TKQ37" s="759"/>
      <c r="TKR37" s="759"/>
      <c r="TKS37" s="759"/>
      <c r="TKT37" s="759"/>
      <c r="TKU37" s="759"/>
      <c r="TKV37" s="759"/>
      <c r="TKW37" s="759"/>
      <c r="TKX37" s="759"/>
      <c r="TKY37" s="759"/>
      <c r="TKZ37" s="759"/>
      <c r="TLA37" s="759"/>
      <c r="TLB37" s="759"/>
      <c r="TLC37" s="759"/>
      <c r="TLD37" s="759"/>
      <c r="TLE37" s="759"/>
      <c r="TLF37" s="759"/>
      <c r="TLG37" s="759"/>
      <c r="TLH37" s="759"/>
      <c r="TLI37" s="759"/>
      <c r="TLJ37" s="759"/>
      <c r="TLK37" s="759"/>
      <c r="TLL37" s="759"/>
      <c r="TLM37" s="759"/>
      <c r="TLN37" s="759"/>
      <c r="TLO37" s="759"/>
      <c r="TLP37" s="759"/>
      <c r="TLQ37" s="759"/>
      <c r="TLR37" s="759"/>
      <c r="TLS37" s="759"/>
      <c r="TLT37" s="759"/>
      <c r="TLU37" s="759"/>
      <c r="TLV37" s="759"/>
      <c r="TLW37" s="759"/>
      <c r="TLX37" s="759"/>
      <c r="TLY37" s="759"/>
      <c r="TLZ37" s="759"/>
      <c r="TMA37" s="759"/>
      <c r="TMB37" s="759"/>
      <c r="TMC37" s="759"/>
      <c r="TMD37" s="759"/>
      <c r="TME37" s="759"/>
      <c r="TMF37" s="759"/>
      <c r="TMG37" s="759"/>
      <c r="TMH37" s="759"/>
      <c r="TMI37" s="759"/>
      <c r="TMJ37" s="759"/>
      <c r="TMK37" s="759"/>
      <c r="TML37" s="759"/>
      <c r="TMM37" s="759"/>
      <c r="TMN37" s="759"/>
      <c r="TMO37" s="759"/>
      <c r="TMP37" s="759"/>
      <c r="TMQ37" s="759"/>
      <c r="TMR37" s="759"/>
      <c r="TMS37" s="759"/>
      <c r="TMT37" s="759"/>
      <c r="TMU37" s="759"/>
      <c r="TMV37" s="759"/>
      <c r="TMW37" s="759"/>
      <c r="TMX37" s="759"/>
      <c r="TMY37" s="759"/>
      <c r="TMZ37" s="759"/>
      <c r="TNA37" s="759"/>
      <c r="TNB37" s="759"/>
      <c r="TNC37" s="759"/>
      <c r="TND37" s="759"/>
      <c r="TNE37" s="759"/>
      <c r="TNF37" s="759"/>
      <c r="TNG37" s="759"/>
      <c r="TNH37" s="759"/>
      <c r="TNI37" s="759"/>
      <c r="TNJ37" s="759"/>
      <c r="TNK37" s="759"/>
      <c r="TNL37" s="759"/>
      <c r="TNM37" s="759"/>
      <c r="TNN37" s="759"/>
      <c r="TNO37" s="759"/>
      <c r="TNP37" s="759"/>
      <c r="TNQ37" s="759"/>
      <c r="TNR37" s="759"/>
      <c r="TNS37" s="759"/>
      <c r="TNT37" s="759"/>
      <c r="TNU37" s="759"/>
      <c r="TNV37" s="759"/>
      <c r="TNW37" s="759"/>
      <c r="TNX37" s="759"/>
      <c r="TNY37" s="759"/>
      <c r="TNZ37" s="759"/>
      <c r="TOA37" s="759"/>
      <c r="TOB37" s="759"/>
      <c r="TOC37" s="759"/>
      <c r="TOD37" s="759"/>
      <c r="TOE37" s="759"/>
      <c r="TOF37" s="759"/>
      <c r="TOG37" s="759"/>
      <c r="TOH37" s="759"/>
      <c r="TOI37" s="759"/>
      <c r="TOJ37" s="759"/>
      <c r="TOK37" s="759"/>
      <c r="TOL37" s="759"/>
      <c r="TOM37" s="759"/>
      <c r="TON37" s="759"/>
      <c r="TOO37" s="759"/>
      <c r="TOP37" s="759"/>
      <c r="TOQ37" s="759"/>
      <c r="TOR37" s="759"/>
      <c r="TOS37" s="759"/>
      <c r="TOT37" s="759"/>
      <c r="TOU37" s="759"/>
      <c r="TOV37" s="759"/>
      <c r="TOW37" s="759"/>
      <c r="TOX37" s="759"/>
      <c r="TOY37" s="759"/>
      <c r="TOZ37" s="759"/>
      <c r="TPA37" s="759"/>
      <c r="TPB37" s="759"/>
      <c r="TPC37" s="759"/>
      <c r="TPD37" s="759"/>
      <c r="TPE37" s="759"/>
      <c r="TPF37" s="759"/>
      <c r="TPG37" s="759"/>
      <c r="TPH37" s="759"/>
      <c r="TPI37" s="759"/>
      <c r="TPJ37" s="759"/>
      <c r="TPK37" s="759"/>
      <c r="TPL37" s="759"/>
      <c r="TPM37" s="759"/>
      <c r="TPN37" s="759"/>
      <c r="TPO37" s="759"/>
      <c r="TPP37" s="759"/>
      <c r="TPQ37" s="759"/>
      <c r="TPR37" s="759"/>
      <c r="TPS37" s="759"/>
      <c r="TPT37" s="759"/>
      <c r="TPU37" s="759"/>
      <c r="TPV37" s="759"/>
      <c r="TPW37" s="759"/>
      <c r="TPX37" s="759"/>
      <c r="TPY37" s="759"/>
      <c r="TPZ37" s="759"/>
      <c r="TQA37" s="759"/>
      <c r="TQB37" s="759"/>
      <c r="TQC37" s="759"/>
      <c r="TQD37" s="759"/>
      <c r="TQE37" s="759"/>
      <c r="TQF37" s="759"/>
      <c r="TQG37" s="759"/>
      <c r="TQH37" s="759"/>
      <c r="TQI37" s="759"/>
      <c r="TQJ37" s="759"/>
      <c r="TQK37" s="759"/>
      <c r="TQL37" s="759"/>
      <c r="TQM37" s="759"/>
      <c r="TQN37" s="759"/>
      <c r="TQO37" s="759"/>
      <c r="TQP37" s="759"/>
      <c r="TQQ37" s="759"/>
      <c r="TQR37" s="759"/>
      <c r="TQS37" s="759"/>
      <c r="TQT37" s="759"/>
      <c r="TQU37" s="759"/>
      <c r="TQV37" s="759"/>
      <c r="TQW37" s="759"/>
      <c r="TQX37" s="759"/>
      <c r="TQY37" s="759"/>
      <c r="TQZ37" s="759"/>
      <c r="TRA37" s="759"/>
      <c r="TRB37" s="759"/>
      <c r="TRC37" s="759"/>
      <c r="TRD37" s="759"/>
      <c r="TRE37" s="759"/>
      <c r="TRF37" s="759"/>
      <c r="TRG37" s="759"/>
      <c r="TRH37" s="759"/>
      <c r="TRI37" s="759"/>
      <c r="TRJ37" s="759"/>
      <c r="TRK37" s="759"/>
      <c r="TRL37" s="759"/>
      <c r="TRM37" s="759"/>
      <c r="TRN37" s="759"/>
      <c r="TRO37" s="759"/>
      <c r="TRP37" s="759"/>
      <c r="TRQ37" s="759"/>
      <c r="TRR37" s="759"/>
      <c r="TRS37" s="759"/>
      <c r="TRT37" s="759"/>
      <c r="TRU37" s="759"/>
      <c r="TRV37" s="759"/>
      <c r="TRW37" s="759"/>
      <c r="TRX37" s="759"/>
      <c r="TRY37" s="759"/>
      <c r="TRZ37" s="759"/>
      <c r="TSA37" s="759"/>
      <c r="TSB37" s="759"/>
      <c r="TSC37" s="759"/>
      <c r="TSD37" s="759"/>
      <c r="TSE37" s="759"/>
      <c r="TSF37" s="759"/>
      <c r="TSG37" s="759"/>
      <c r="TSH37" s="759"/>
      <c r="TSI37" s="759"/>
      <c r="TSJ37" s="759"/>
      <c r="TSK37" s="759"/>
      <c r="TSL37" s="759"/>
      <c r="TSM37" s="759"/>
      <c r="TSN37" s="759"/>
      <c r="TSO37" s="759"/>
      <c r="TSP37" s="759"/>
      <c r="TSQ37" s="759"/>
      <c r="TSR37" s="759"/>
      <c r="TSS37" s="759"/>
      <c r="TST37" s="759"/>
      <c r="TSU37" s="759"/>
      <c r="TSV37" s="759"/>
      <c r="TSW37" s="759"/>
      <c r="TSX37" s="759"/>
      <c r="TSY37" s="759"/>
      <c r="TSZ37" s="759"/>
      <c r="TTA37" s="759"/>
      <c r="TTB37" s="759"/>
      <c r="TTC37" s="759"/>
      <c r="TTD37" s="759"/>
      <c r="TTE37" s="759"/>
      <c r="TTF37" s="759"/>
      <c r="TTG37" s="759"/>
      <c r="TTH37" s="759"/>
      <c r="TTI37" s="759"/>
      <c r="TTJ37" s="759"/>
      <c r="TTK37" s="759"/>
      <c r="TTL37" s="759"/>
      <c r="TTM37" s="759"/>
      <c r="TTN37" s="759"/>
      <c r="TTO37" s="759"/>
      <c r="TTP37" s="759"/>
      <c r="TTQ37" s="759"/>
      <c r="TTR37" s="759"/>
      <c r="TTS37" s="759"/>
      <c r="TTT37" s="759"/>
      <c r="TTU37" s="759"/>
      <c r="TTV37" s="759"/>
      <c r="TTW37" s="759"/>
      <c r="TTX37" s="759"/>
      <c r="TTY37" s="759"/>
      <c r="TTZ37" s="759"/>
      <c r="TUA37" s="759"/>
      <c r="TUB37" s="759"/>
      <c r="TUC37" s="759"/>
      <c r="TUD37" s="759"/>
      <c r="TUE37" s="759"/>
      <c r="TUF37" s="759"/>
      <c r="TUG37" s="759"/>
      <c r="TUH37" s="759"/>
      <c r="TUI37" s="759"/>
      <c r="TUJ37" s="759"/>
      <c r="TUK37" s="759"/>
      <c r="TUL37" s="759"/>
      <c r="TUM37" s="759"/>
      <c r="TUN37" s="759"/>
      <c r="TUO37" s="759"/>
      <c r="TUP37" s="759"/>
      <c r="TUQ37" s="759"/>
      <c r="TUR37" s="759"/>
      <c r="TUS37" s="759"/>
      <c r="TUT37" s="759"/>
      <c r="TUU37" s="759"/>
      <c r="TUV37" s="759"/>
      <c r="TUW37" s="759"/>
      <c r="TUX37" s="759"/>
      <c r="TUY37" s="759"/>
      <c r="TUZ37" s="759"/>
      <c r="TVA37" s="759"/>
      <c r="TVB37" s="759"/>
      <c r="TVC37" s="759"/>
      <c r="TVD37" s="759"/>
      <c r="TVE37" s="759"/>
      <c r="TVF37" s="759"/>
      <c r="TVG37" s="759"/>
      <c r="TVH37" s="759"/>
      <c r="TVI37" s="759"/>
      <c r="TVJ37" s="759"/>
      <c r="TVK37" s="759"/>
      <c r="TVL37" s="759"/>
      <c r="TVM37" s="759"/>
      <c r="TVN37" s="759"/>
      <c r="TVO37" s="759"/>
      <c r="TVP37" s="759"/>
      <c r="TVQ37" s="759"/>
      <c r="TVR37" s="759"/>
      <c r="TVS37" s="759"/>
      <c r="TVT37" s="759"/>
      <c r="TVU37" s="759"/>
      <c r="TVV37" s="759"/>
      <c r="TVW37" s="759"/>
      <c r="TVX37" s="759"/>
      <c r="TVY37" s="759"/>
      <c r="TVZ37" s="759"/>
      <c r="TWA37" s="759"/>
      <c r="TWB37" s="759"/>
      <c r="TWC37" s="759"/>
      <c r="TWD37" s="759"/>
      <c r="TWE37" s="759"/>
      <c r="TWF37" s="759"/>
      <c r="TWG37" s="759"/>
      <c r="TWH37" s="759"/>
      <c r="TWI37" s="759"/>
      <c r="TWJ37" s="759"/>
      <c r="TWK37" s="759"/>
      <c r="TWL37" s="759"/>
      <c r="TWM37" s="759"/>
      <c r="TWN37" s="759"/>
      <c r="TWO37" s="759"/>
      <c r="TWP37" s="759"/>
      <c r="TWQ37" s="759"/>
      <c r="TWR37" s="759"/>
      <c r="TWS37" s="759"/>
      <c r="TWT37" s="759"/>
      <c r="TWU37" s="759"/>
      <c r="TWV37" s="759"/>
      <c r="TWW37" s="759"/>
      <c r="TWX37" s="759"/>
      <c r="TWY37" s="759"/>
      <c r="TWZ37" s="759"/>
      <c r="TXA37" s="759"/>
      <c r="TXB37" s="759"/>
      <c r="TXC37" s="759"/>
      <c r="TXD37" s="759"/>
      <c r="TXE37" s="759"/>
      <c r="TXF37" s="759"/>
      <c r="TXG37" s="759"/>
      <c r="TXH37" s="759"/>
      <c r="TXI37" s="759"/>
      <c r="TXJ37" s="759"/>
      <c r="TXK37" s="759"/>
      <c r="TXL37" s="759"/>
      <c r="TXM37" s="759"/>
      <c r="TXN37" s="759"/>
      <c r="TXO37" s="759"/>
      <c r="TXP37" s="759"/>
      <c r="TXQ37" s="759"/>
      <c r="TXR37" s="759"/>
      <c r="TXS37" s="759"/>
      <c r="TXT37" s="759"/>
      <c r="TXU37" s="759"/>
      <c r="TXV37" s="759"/>
      <c r="TXW37" s="759"/>
      <c r="TXX37" s="759"/>
      <c r="TXY37" s="759"/>
      <c r="TXZ37" s="759"/>
      <c r="TYA37" s="759"/>
      <c r="TYB37" s="759"/>
      <c r="TYC37" s="759"/>
      <c r="TYD37" s="759"/>
      <c r="TYE37" s="759"/>
      <c r="TYF37" s="759"/>
      <c r="TYG37" s="759"/>
      <c r="TYH37" s="759"/>
      <c r="TYI37" s="759"/>
      <c r="TYJ37" s="759"/>
      <c r="TYK37" s="759"/>
      <c r="TYL37" s="759"/>
      <c r="TYM37" s="759"/>
      <c r="TYN37" s="759"/>
      <c r="TYO37" s="759"/>
      <c r="TYP37" s="759"/>
      <c r="TYQ37" s="759"/>
      <c r="TYR37" s="759"/>
      <c r="TYS37" s="759"/>
      <c r="TYT37" s="759"/>
      <c r="TYU37" s="759"/>
      <c r="TYV37" s="759"/>
      <c r="TYW37" s="759"/>
      <c r="TYX37" s="759"/>
      <c r="TYY37" s="759"/>
      <c r="TYZ37" s="759"/>
      <c r="TZA37" s="759"/>
      <c r="TZB37" s="759"/>
      <c r="TZC37" s="759"/>
      <c r="TZD37" s="759"/>
      <c r="TZE37" s="759"/>
      <c r="TZF37" s="759"/>
      <c r="TZG37" s="759"/>
      <c r="TZH37" s="759"/>
      <c r="TZI37" s="759"/>
      <c r="TZJ37" s="759"/>
      <c r="TZK37" s="759"/>
      <c r="TZL37" s="759"/>
      <c r="TZM37" s="759"/>
      <c r="TZN37" s="759"/>
      <c r="TZO37" s="759"/>
      <c r="TZP37" s="759"/>
      <c r="TZQ37" s="759"/>
      <c r="TZR37" s="759"/>
      <c r="TZS37" s="759"/>
      <c r="TZT37" s="759"/>
      <c r="TZU37" s="759"/>
      <c r="TZV37" s="759"/>
      <c r="TZW37" s="759"/>
      <c r="TZX37" s="759"/>
      <c r="TZY37" s="759"/>
      <c r="TZZ37" s="759"/>
      <c r="UAA37" s="759"/>
      <c r="UAB37" s="759"/>
      <c r="UAC37" s="759"/>
      <c r="UAD37" s="759"/>
      <c r="UAE37" s="759"/>
      <c r="UAF37" s="759"/>
      <c r="UAG37" s="759"/>
      <c r="UAH37" s="759"/>
      <c r="UAI37" s="759"/>
      <c r="UAJ37" s="759"/>
      <c r="UAK37" s="759"/>
      <c r="UAL37" s="759"/>
      <c r="UAM37" s="759"/>
      <c r="UAN37" s="759"/>
      <c r="UAO37" s="759"/>
      <c r="UAP37" s="759"/>
      <c r="UAQ37" s="759"/>
      <c r="UAR37" s="759"/>
      <c r="UAS37" s="759"/>
      <c r="UAT37" s="759"/>
      <c r="UAU37" s="759"/>
      <c r="UAV37" s="759"/>
      <c r="UAW37" s="759"/>
      <c r="UAX37" s="759"/>
      <c r="UAY37" s="759"/>
      <c r="UAZ37" s="759"/>
      <c r="UBA37" s="759"/>
      <c r="UBB37" s="759"/>
      <c r="UBC37" s="759"/>
      <c r="UBD37" s="759"/>
      <c r="UBE37" s="759"/>
      <c r="UBF37" s="759"/>
      <c r="UBG37" s="759"/>
      <c r="UBH37" s="759"/>
      <c r="UBI37" s="759"/>
      <c r="UBJ37" s="759"/>
      <c r="UBK37" s="759"/>
      <c r="UBL37" s="759"/>
      <c r="UBM37" s="759"/>
      <c r="UBN37" s="759"/>
      <c r="UBO37" s="759"/>
      <c r="UBP37" s="759"/>
      <c r="UBQ37" s="759"/>
      <c r="UBR37" s="759"/>
      <c r="UBS37" s="759"/>
      <c r="UBT37" s="759"/>
      <c r="UBU37" s="759"/>
      <c r="UBV37" s="759"/>
      <c r="UBW37" s="759"/>
      <c r="UBX37" s="759"/>
      <c r="UBY37" s="759"/>
      <c r="UBZ37" s="759"/>
      <c r="UCA37" s="759"/>
      <c r="UCB37" s="759"/>
      <c r="UCC37" s="759"/>
      <c r="UCD37" s="759"/>
      <c r="UCE37" s="759"/>
      <c r="UCF37" s="759"/>
      <c r="UCG37" s="759"/>
      <c r="UCH37" s="759"/>
      <c r="UCI37" s="759"/>
      <c r="UCJ37" s="759"/>
      <c r="UCK37" s="759"/>
      <c r="UCL37" s="759"/>
      <c r="UCM37" s="759"/>
      <c r="UCN37" s="759"/>
      <c r="UCO37" s="759"/>
      <c r="UCP37" s="759"/>
      <c r="UCQ37" s="759"/>
      <c r="UCR37" s="759"/>
      <c r="UCS37" s="759"/>
      <c r="UCT37" s="759"/>
      <c r="UCU37" s="759"/>
      <c r="UCV37" s="759"/>
      <c r="UCW37" s="759"/>
      <c r="UCX37" s="759"/>
      <c r="UCY37" s="759"/>
      <c r="UCZ37" s="759"/>
      <c r="UDA37" s="759"/>
      <c r="UDB37" s="759"/>
      <c r="UDC37" s="759"/>
      <c r="UDD37" s="759"/>
      <c r="UDE37" s="759"/>
      <c r="UDF37" s="759"/>
      <c r="UDG37" s="759"/>
      <c r="UDH37" s="759"/>
      <c r="UDI37" s="759"/>
      <c r="UDJ37" s="759"/>
      <c r="UDK37" s="759"/>
      <c r="UDL37" s="759"/>
      <c r="UDM37" s="759"/>
      <c r="UDN37" s="759"/>
      <c r="UDO37" s="759"/>
      <c r="UDP37" s="759"/>
      <c r="UDQ37" s="759"/>
      <c r="UDR37" s="759"/>
      <c r="UDS37" s="759"/>
      <c r="UDT37" s="759"/>
      <c r="UDU37" s="759"/>
      <c r="UDV37" s="759"/>
      <c r="UDW37" s="759"/>
      <c r="UDX37" s="759"/>
      <c r="UDY37" s="759"/>
      <c r="UDZ37" s="759"/>
      <c r="UEA37" s="759"/>
      <c r="UEB37" s="759"/>
      <c r="UEC37" s="759"/>
      <c r="UED37" s="759"/>
      <c r="UEE37" s="759"/>
      <c r="UEF37" s="759"/>
      <c r="UEG37" s="759"/>
      <c r="UEH37" s="759"/>
      <c r="UEI37" s="759"/>
      <c r="UEJ37" s="759"/>
      <c r="UEK37" s="759"/>
      <c r="UEL37" s="759"/>
      <c r="UEM37" s="759"/>
      <c r="UEN37" s="759"/>
      <c r="UEO37" s="759"/>
      <c r="UEP37" s="759"/>
      <c r="UEQ37" s="759"/>
      <c r="UER37" s="759"/>
      <c r="UES37" s="759"/>
      <c r="UET37" s="759"/>
      <c r="UEU37" s="759"/>
      <c r="UEV37" s="759"/>
      <c r="UEW37" s="759"/>
      <c r="UEX37" s="759"/>
      <c r="UEY37" s="759"/>
      <c r="UEZ37" s="759"/>
      <c r="UFA37" s="759"/>
      <c r="UFB37" s="759"/>
      <c r="UFC37" s="759"/>
      <c r="UFD37" s="759"/>
      <c r="UFE37" s="759"/>
      <c r="UFF37" s="759"/>
      <c r="UFG37" s="759"/>
      <c r="UFH37" s="759"/>
      <c r="UFI37" s="759"/>
      <c r="UFJ37" s="759"/>
      <c r="UFK37" s="759"/>
      <c r="UFL37" s="759"/>
      <c r="UFM37" s="759"/>
      <c r="UFN37" s="759"/>
      <c r="UFO37" s="759"/>
      <c r="UFP37" s="759"/>
      <c r="UFQ37" s="759"/>
      <c r="UFR37" s="759"/>
      <c r="UFS37" s="759"/>
      <c r="UFT37" s="759"/>
      <c r="UFU37" s="759"/>
      <c r="UFV37" s="759"/>
      <c r="UFW37" s="759"/>
      <c r="UFX37" s="759"/>
      <c r="UFY37" s="759"/>
      <c r="UFZ37" s="759"/>
      <c r="UGA37" s="759"/>
      <c r="UGB37" s="759"/>
      <c r="UGC37" s="759"/>
      <c r="UGD37" s="759"/>
      <c r="UGE37" s="759"/>
      <c r="UGF37" s="759"/>
      <c r="UGG37" s="759"/>
      <c r="UGH37" s="759"/>
      <c r="UGI37" s="759"/>
      <c r="UGJ37" s="759"/>
      <c r="UGK37" s="759"/>
      <c r="UGL37" s="759"/>
      <c r="UGM37" s="759"/>
      <c r="UGN37" s="759"/>
      <c r="UGO37" s="759"/>
      <c r="UGP37" s="759"/>
      <c r="UGQ37" s="759"/>
      <c r="UGR37" s="759"/>
      <c r="UGS37" s="759"/>
      <c r="UGT37" s="759"/>
      <c r="UGU37" s="759"/>
      <c r="UGV37" s="759"/>
      <c r="UGW37" s="759"/>
      <c r="UGX37" s="759"/>
      <c r="UGY37" s="759"/>
      <c r="UGZ37" s="759"/>
      <c r="UHA37" s="759"/>
      <c r="UHB37" s="759"/>
      <c r="UHC37" s="759"/>
      <c r="UHD37" s="759"/>
      <c r="UHE37" s="759"/>
      <c r="UHF37" s="759"/>
      <c r="UHG37" s="759"/>
      <c r="UHH37" s="759"/>
      <c r="UHI37" s="759"/>
      <c r="UHJ37" s="759"/>
      <c r="UHK37" s="759"/>
      <c r="UHL37" s="759"/>
      <c r="UHM37" s="759"/>
      <c r="UHN37" s="759"/>
      <c r="UHO37" s="759"/>
      <c r="UHP37" s="759"/>
      <c r="UHQ37" s="759"/>
      <c r="UHR37" s="759"/>
      <c r="UHS37" s="759"/>
      <c r="UHT37" s="759"/>
      <c r="UHU37" s="759"/>
      <c r="UHV37" s="759"/>
      <c r="UHW37" s="759"/>
      <c r="UHX37" s="759"/>
      <c r="UHY37" s="759"/>
      <c r="UHZ37" s="759"/>
      <c r="UIA37" s="759"/>
      <c r="UIB37" s="759"/>
      <c r="UIC37" s="759"/>
      <c r="UID37" s="759"/>
      <c r="UIE37" s="759"/>
      <c r="UIF37" s="759"/>
      <c r="UIG37" s="759"/>
      <c r="UIH37" s="759"/>
      <c r="UII37" s="759"/>
      <c r="UIJ37" s="759"/>
      <c r="UIK37" s="759"/>
      <c r="UIL37" s="759"/>
      <c r="UIM37" s="759"/>
      <c r="UIN37" s="759"/>
      <c r="UIO37" s="759"/>
      <c r="UIP37" s="759"/>
      <c r="UIQ37" s="759"/>
      <c r="UIR37" s="759"/>
      <c r="UIS37" s="759"/>
      <c r="UIT37" s="759"/>
      <c r="UIU37" s="759"/>
      <c r="UIV37" s="759"/>
      <c r="UIW37" s="759"/>
      <c r="UIX37" s="759"/>
      <c r="UIY37" s="759"/>
      <c r="UIZ37" s="759"/>
      <c r="UJA37" s="759"/>
      <c r="UJB37" s="759"/>
      <c r="UJC37" s="759"/>
      <c r="UJD37" s="759"/>
      <c r="UJE37" s="759"/>
      <c r="UJF37" s="759"/>
      <c r="UJG37" s="759"/>
      <c r="UJH37" s="759"/>
      <c r="UJI37" s="759"/>
      <c r="UJJ37" s="759"/>
      <c r="UJK37" s="759"/>
      <c r="UJL37" s="759"/>
      <c r="UJM37" s="759"/>
      <c r="UJN37" s="759"/>
      <c r="UJO37" s="759"/>
      <c r="UJP37" s="759"/>
      <c r="UJQ37" s="759"/>
      <c r="UJR37" s="759"/>
      <c r="UJS37" s="759"/>
      <c r="UJT37" s="759"/>
      <c r="UJU37" s="759"/>
      <c r="UJV37" s="759"/>
      <c r="UJW37" s="759"/>
      <c r="UJX37" s="759"/>
      <c r="UJY37" s="759"/>
      <c r="UJZ37" s="759"/>
      <c r="UKA37" s="759"/>
      <c r="UKB37" s="759"/>
      <c r="UKC37" s="759"/>
      <c r="UKD37" s="759"/>
      <c r="UKE37" s="759"/>
      <c r="UKF37" s="759"/>
      <c r="UKG37" s="759"/>
      <c r="UKH37" s="759"/>
      <c r="UKI37" s="759"/>
      <c r="UKJ37" s="759"/>
      <c r="UKK37" s="759"/>
      <c r="UKL37" s="759"/>
      <c r="UKM37" s="759"/>
      <c r="UKN37" s="759"/>
      <c r="UKO37" s="759"/>
      <c r="UKP37" s="759"/>
      <c r="UKQ37" s="759"/>
      <c r="UKR37" s="759"/>
      <c r="UKS37" s="759"/>
      <c r="UKT37" s="759"/>
      <c r="UKU37" s="759"/>
      <c r="UKV37" s="759"/>
      <c r="UKW37" s="759"/>
      <c r="UKX37" s="759"/>
      <c r="UKY37" s="759"/>
      <c r="UKZ37" s="759"/>
      <c r="ULA37" s="759"/>
      <c r="ULB37" s="759"/>
      <c r="ULC37" s="759"/>
      <c r="ULD37" s="759"/>
      <c r="ULE37" s="759"/>
      <c r="ULF37" s="759"/>
      <c r="ULG37" s="759"/>
      <c r="ULH37" s="759"/>
      <c r="ULI37" s="759"/>
      <c r="ULJ37" s="759"/>
      <c r="ULK37" s="759"/>
      <c r="ULL37" s="759"/>
      <c r="ULM37" s="759"/>
      <c r="ULN37" s="759"/>
      <c r="ULO37" s="759"/>
      <c r="ULP37" s="759"/>
      <c r="ULQ37" s="759"/>
      <c r="ULR37" s="759"/>
      <c r="ULS37" s="759"/>
      <c r="ULT37" s="759"/>
      <c r="ULU37" s="759"/>
      <c r="ULV37" s="759"/>
      <c r="ULW37" s="759"/>
      <c r="ULX37" s="759"/>
      <c r="ULY37" s="759"/>
      <c r="ULZ37" s="759"/>
      <c r="UMA37" s="759"/>
      <c r="UMB37" s="759"/>
      <c r="UMC37" s="759"/>
      <c r="UMD37" s="759"/>
      <c r="UME37" s="759"/>
      <c r="UMF37" s="759"/>
      <c r="UMG37" s="759"/>
      <c r="UMH37" s="759"/>
      <c r="UMI37" s="759"/>
      <c r="UMJ37" s="759"/>
      <c r="UMK37" s="759"/>
      <c r="UML37" s="759"/>
      <c r="UMM37" s="759"/>
      <c r="UMN37" s="759"/>
      <c r="UMO37" s="759"/>
      <c r="UMP37" s="759"/>
      <c r="UMQ37" s="759"/>
      <c r="UMR37" s="759"/>
      <c r="UMS37" s="759"/>
      <c r="UMT37" s="759"/>
      <c r="UMU37" s="759"/>
      <c r="UMV37" s="759"/>
      <c r="UMW37" s="759"/>
      <c r="UMX37" s="759"/>
      <c r="UMY37" s="759"/>
      <c r="UMZ37" s="759"/>
      <c r="UNA37" s="759"/>
      <c r="UNB37" s="759"/>
      <c r="UNC37" s="759"/>
      <c r="UND37" s="759"/>
      <c r="UNE37" s="759"/>
      <c r="UNF37" s="759"/>
      <c r="UNG37" s="759"/>
      <c r="UNH37" s="759"/>
      <c r="UNI37" s="759"/>
      <c r="UNJ37" s="759"/>
      <c r="UNK37" s="759"/>
      <c r="UNL37" s="759"/>
      <c r="UNM37" s="759"/>
      <c r="UNN37" s="759"/>
      <c r="UNO37" s="759"/>
      <c r="UNP37" s="759"/>
      <c r="UNQ37" s="759"/>
      <c r="UNR37" s="759"/>
      <c r="UNS37" s="759"/>
      <c r="UNT37" s="759"/>
      <c r="UNU37" s="759"/>
      <c r="UNV37" s="759"/>
      <c r="UNW37" s="759"/>
      <c r="UNX37" s="759"/>
      <c r="UNY37" s="759"/>
      <c r="UNZ37" s="759"/>
      <c r="UOA37" s="759"/>
      <c r="UOB37" s="759"/>
      <c r="UOC37" s="759"/>
      <c r="UOD37" s="759"/>
      <c r="UOE37" s="759"/>
      <c r="UOF37" s="759"/>
      <c r="UOG37" s="759"/>
      <c r="UOH37" s="759"/>
      <c r="UOI37" s="759"/>
      <c r="UOJ37" s="759"/>
      <c r="UOK37" s="759"/>
      <c r="UOL37" s="759"/>
      <c r="UOM37" s="759"/>
      <c r="UON37" s="759"/>
      <c r="UOO37" s="759"/>
      <c r="UOP37" s="759"/>
      <c r="UOQ37" s="759"/>
      <c r="UOR37" s="759"/>
      <c r="UOS37" s="759"/>
      <c r="UOT37" s="759"/>
      <c r="UOU37" s="759"/>
      <c r="UOV37" s="759"/>
      <c r="UOW37" s="759"/>
      <c r="UOX37" s="759"/>
      <c r="UOY37" s="759"/>
      <c r="UOZ37" s="759"/>
      <c r="UPA37" s="759"/>
      <c r="UPB37" s="759"/>
      <c r="UPC37" s="759"/>
      <c r="UPD37" s="759"/>
      <c r="UPE37" s="759"/>
      <c r="UPF37" s="759"/>
      <c r="UPG37" s="759"/>
      <c r="UPH37" s="759"/>
      <c r="UPI37" s="759"/>
      <c r="UPJ37" s="759"/>
      <c r="UPK37" s="759"/>
      <c r="UPL37" s="759"/>
      <c r="UPM37" s="759"/>
      <c r="UPN37" s="759"/>
      <c r="UPO37" s="759"/>
      <c r="UPP37" s="759"/>
      <c r="UPQ37" s="759"/>
      <c r="UPR37" s="759"/>
      <c r="UPS37" s="759"/>
      <c r="UPT37" s="759"/>
      <c r="UPU37" s="759"/>
      <c r="UPV37" s="759"/>
      <c r="UPW37" s="759"/>
      <c r="UPX37" s="759"/>
      <c r="UPY37" s="759"/>
      <c r="UPZ37" s="759"/>
      <c r="UQA37" s="759"/>
      <c r="UQB37" s="759"/>
      <c r="UQC37" s="759"/>
      <c r="UQD37" s="759"/>
      <c r="UQE37" s="759"/>
      <c r="UQF37" s="759"/>
      <c r="UQG37" s="759"/>
      <c r="UQH37" s="759"/>
      <c r="UQI37" s="759"/>
      <c r="UQJ37" s="759"/>
      <c r="UQK37" s="759"/>
      <c r="UQL37" s="759"/>
      <c r="UQM37" s="759"/>
      <c r="UQN37" s="759"/>
      <c r="UQO37" s="759"/>
      <c r="UQP37" s="759"/>
      <c r="UQQ37" s="759"/>
      <c r="UQR37" s="759"/>
      <c r="UQS37" s="759"/>
      <c r="UQT37" s="759"/>
      <c r="UQU37" s="759"/>
      <c r="UQV37" s="759"/>
      <c r="UQW37" s="759"/>
      <c r="UQX37" s="759"/>
      <c r="UQY37" s="759"/>
      <c r="UQZ37" s="759"/>
      <c r="URA37" s="759"/>
      <c r="URB37" s="759"/>
      <c r="URC37" s="759"/>
      <c r="URD37" s="759"/>
      <c r="URE37" s="759"/>
      <c r="URF37" s="759"/>
      <c r="URG37" s="759"/>
      <c r="URH37" s="759"/>
      <c r="URI37" s="759"/>
      <c r="URJ37" s="759"/>
      <c r="URK37" s="759"/>
      <c r="URL37" s="759"/>
      <c r="URM37" s="759"/>
      <c r="URN37" s="759"/>
      <c r="URO37" s="759"/>
      <c r="URP37" s="759"/>
      <c r="URQ37" s="759"/>
      <c r="URR37" s="759"/>
      <c r="URS37" s="759"/>
      <c r="URT37" s="759"/>
      <c r="URU37" s="759"/>
      <c r="URV37" s="759"/>
      <c r="URW37" s="759"/>
      <c r="URX37" s="759"/>
      <c r="URY37" s="759"/>
      <c r="URZ37" s="759"/>
      <c r="USA37" s="759"/>
      <c r="USB37" s="759"/>
      <c r="USC37" s="759"/>
      <c r="USD37" s="759"/>
      <c r="USE37" s="759"/>
      <c r="USF37" s="759"/>
      <c r="USG37" s="759"/>
      <c r="USH37" s="759"/>
      <c r="USI37" s="759"/>
      <c r="USJ37" s="759"/>
      <c r="USK37" s="759"/>
      <c r="USL37" s="759"/>
      <c r="USM37" s="759"/>
      <c r="USN37" s="759"/>
      <c r="USO37" s="759"/>
      <c r="USP37" s="759"/>
      <c r="USQ37" s="759"/>
      <c r="USR37" s="759"/>
      <c r="USS37" s="759"/>
      <c r="UST37" s="759"/>
      <c r="USU37" s="759"/>
      <c r="USV37" s="759"/>
      <c r="USW37" s="759"/>
      <c r="USX37" s="759"/>
      <c r="USY37" s="759"/>
      <c r="USZ37" s="759"/>
      <c r="UTA37" s="759"/>
      <c r="UTB37" s="759"/>
      <c r="UTC37" s="759"/>
      <c r="UTD37" s="759"/>
      <c r="UTE37" s="759"/>
      <c r="UTF37" s="759"/>
      <c r="UTG37" s="759"/>
      <c r="UTH37" s="759"/>
      <c r="UTI37" s="759"/>
      <c r="UTJ37" s="759"/>
      <c r="UTK37" s="759"/>
      <c r="UTL37" s="759"/>
      <c r="UTM37" s="759"/>
      <c r="UTN37" s="759"/>
      <c r="UTO37" s="759"/>
      <c r="UTP37" s="759"/>
      <c r="UTQ37" s="759"/>
      <c r="UTR37" s="759"/>
      <c r="UTS37" s="759"/>
      <c r="UTT37" s="759"/>
      <c r="UTU37" s="759"/>
      <c r="UTV37" s="759"/>
      <c r="UTW37" s="759"/>
      <c r="UTX37" s="759"/>
      <c r="UTY37" s="759"/>
      <c r="UTZ37" s="759"/>
      <c r="UUA37" s="759"/>
      <c r="UUB37" s="759"/>
      <c r="UUC37" s="759"/>
      <c r="UUD37" s="759"/>
      <c r="UUE37" s="759"/>
      <c r="UUF37" s="759"/>
      <c r="UUG37" s="759"/>
      <c r="UUH37" s="759"/>
      <c r="UUI37" s="759"/>
      <c r="UUJ37" s="759"/>
      <c r="UUK37" s="759"/>
      <c r="UUL37" s="759"/>
      <c r="UUM37" s="759"/>
      <c r="UUN37" s="759"/>
      <c r="UUO37" s="759"/>
      <c r="UUP37" s="759"/>
      <c r="UUQ37" s="759"/>
      <c r="UUR37" s="759"/>
      <c r="UUS37" s="759"/>
      <c r="UUT37" s="759"/>
      <c r="UUU37" s="759"/>
      <c r="UUV37" s="759"/>
      <c r="UUW37" s="759"/>
      <c r="UUX37" s="759"/>
      <c r="UUY37" s="759"/>
      <c r="UUZ37" s="759"/>
      <c r="UVA37" s="759"/>
      <c r="UVB37" s="759"/>
      <c r="UVC37" s="759"/>
      <c r="UVD37" s="759"/>
      <c r="UVE37" s="759"/>
      <c r="UVF37" s="759"/>
      <c r="UVG37" s="759"/>
      <c r="UVH37" s="759"/>
      <c r="UVI37" s="759"/>
      <c r="UVJ37" s="759"/>
      <c r="UVK37" s="759"/>
      <c r="UVL37" s="759"/>
      <c r="UVM37" s="759"/>
      <c r="UVN37" s="759"/>
      <c r="UVO37" s="759"/>
      <c r="UVP37" s="759"/>
      <c r="UVQ37" s="759"/>
      <c r="UVR37" s="759"/>
      <c r="UVS37" s="759"/>
      <c r="UVT37" s="759"/>
      <c r="UVU37" s="759"/>
      <c r="UVV37" s="759"/>
      <c r="UVW37" s="759"/>
      <c r="UVX37" s="759"/>
      <c r="UVY37" s="759"/>
      <c r="UVZ37" s="759"/>
      <c r="UWA37" s="759"/>
      <c r="UWB37" s="759"/>
      <c r="UWC37" s="759"/>
      <c r="UWD37" s="759"/>
      <c r="UWE37" s="759"/>
      <c r="UWF37" s="759"/>
      <c r="UWG37" s="759"/>
      <c r="UWH37" s="759"/>
      <c r="UWI37" s="759"/>
      <c r="UWJ37" s="759"/>
      <c r="UWK37" s="759"/>
      <c r="UWL37" s="759"/>
      <c r="UWM37" s="759"/>
      <c r="UWN37" s="759"/>
      <c r="UWO37" s="759"/>
      <c r="UWP37" s="759"/>
      <c r="UWQ37" s="759"/>
      <c r="UWR37" s="759"/>
      <c r="UWS37" s="759"/>
      <c r="UWT37" s="759"/>
      <c r="UWU37" s="759"/>
      <c r="UWV37" s="759"/>
      <c r="UWW37" s="759"/>
      <c r="UWX37" s="759"/>
      <c r="UWY37" s="759"/>
      <c r="UWZ37" s="759"/>
      <c r="UXA37" s="759"/>
      <c r="UXB37" s="759"/>
      <c r="UXC37" s="759"/>
      <c r="UXD37" s="759"/>
      <c r="UXE37" s="759"/>
      <c r="UXF37" s="759"/>
      <c r="UXG37" s="759"/>
      <c r="UXH37" s="759"/>
      <c r="UXI37" s="759"/>
      <c r="UXJ37" s="759"/>
      <c r="UXK37" s="759"/>
      <c r="UXL37" s="759"/>
      <c r="UXM37" s="759"/>
      <c r="UXN37" s="759"/>
      <c r="UXO37" s="759"/>
      <c r="UXP37" s="759"/>
      <c r="UXQ37" s="759"/>
      <c r="UXR37" s="759"/>
      <c r="UXS37" s="759"/>
      <c r="UXT37" s="759"/>
      <c r="UXU37" s="759"/>
      <c r="UXV37" s="759"/>
      <c r="UXW37" s="759"/>
      <c r="UXX37" s="759"/>
      <c r="UXY37" s="759"/>
      <c r="UXZ37" s="759"/>
      <c r="UYA37" s="759"/>
      <c r="UYB37" s="759"/>
      <c r="UYC37" s="759"/>
      <c r="UYD37" s="759"/>
      <c r="UYE37" s="759"/>
      <c r="UYF37" s="759"/>
      <c r="UYG37" s="759"/>
      <c r="UYH37" s="759"/>
      <c r="UYI37" s="759"/>
      <c r="UYJ37" s="759"/>
      <c r="UYK37" s="759"/>
      <c r="UYL37" s="759"/>
      <c r="UYM37" s="759"/>
      <c r="UYN37" s="759"/>
      <c r="UYO37" s="759"/>
      <c r="UYP37" s="759"/>
      <c r="UYQ37" s="759"/>
      <c r="UYR37" s="759"/>
      <c r="UYS37" s="759"/>
      <c r="UYT37" s="759"/>
      <c r="UYU37" s="759"/>
      <c r="UYV37" s="759"/>
      <c r="UYW37" s="759"/>
      <c r="UYX37" s="759"/>
      <c r="UYY37" s="759"/>
      <c r="UYZ37" s="759"/>
      <c r="UZA37" s="759"/>
      <c r="UZB37" s="759"/>
      <c r="UZC37" s="759"/>
      <c r="UZD37" s="759"/>
      <c r="UZE37" s="759"/>
      <c r="UZF37" s="759"/>
      <c r="UZG37" s="759"/>
      <c r="UZH37" s="759"/>
      <c r="UZI37" s="759"/>
      <c r="UZJ37" s="759"/>
      <c r="UZK37" s="759"/>
      <c r="UZL37" s="759"/>
      <c r="UZM37" s="759"/>
      <c r="UZN37" s="759"/>
      <c r="UZO37" s="759"/>
      <c r="UZP37" s="759"/>
      <c r="UZQ37" s="759"/>
      <c r="UZR37" s="759"/>
      <c r="UZS37" s="759"/>
      <c r="UZT37" s="759"/>
      <c r="UZU37" s="759"/>
      <c r="UZV37" s="759"/>
      <c r="UZW37" s="759"/>
      <c r="UZX37" s="759"/>
      <c r="UZY37" s="759"/>
      <c r="UZZ37" s="759"/>
      <c r="VAA37" s="759"/>
      <c r="VAB37" s="759"/>
      <c r="VAC37" s="759"/>
      <c r="VAD37" s="759"/>
      <c r="VAE37" s="759"/>
      <c r="VAF37" s="759"/>
      <c r="VAG37" s="759"/>
      <c r="VAH37" s="759"/>
      <c r="VAI37" s="759"/>
      <c r="VAJ37" s="759"/>
      <c r="VAK37" s="759"/>
      <c r="VAL37" s="759"/>
      <c r="VAM37" s="759"/>
      <c r="VAN37" s="759"/>
      <c r="VAO37" s="759"/>
      <c r="VAP37" s="759"/>
      <c r="VAQ37" s="759"/>
      <c r="VAR37" s="759"/>
      <c r="VAS37" s="759"/>
      <c r="VAT37" s="759"/>
      <c r="VAU37" s="759"/>
      <c r="VAV37" s="759"/>
      <c r="VAW37" s="759"/>
      <c r="VAX37" s="759"/>
      <c r="VAY37" s="759"/>
      <c r="VAZ37" s="759"/>
      <c r="VBA37" s="759"/>
      <c r="VBB37" s="759"/>
      <c r="VBC37" s="759"/>
      <c r="VBD37" s="759"/>
      <c r="VBE37" s="759"/>
      <c r="VBF37" s="759"/>
      <c r="VBG37" s="759"/>
      <c r="VBH37" s="759"/>
      <c r="VBI37" s="759"/>
      <c r="VBJ37" s="759"/>
      <c r="VBK37" s="759"/>
      <c r="VBL37" s="759"/>
      <c r="VBM37" s="759"/>
      <c r="VBN37" s="759"/>
      <c r="VBO37" s="759"/>
      <c r="VBP37" s="759"/>
      <c r="VBQ37" s="759"/>
      <c r="VBR37" s="759"/>
      <c r="VBS37" s="759"/>
      <c r="VBT37" s="759"/>
      <c r="VBU37" s="759"/>
      <c r="VBV37" s="759"/>
      <c r="VBW37" s="759"/>
      <c r="VBX37" s="759"/>
      <c r="VBY37" s="759"/>
      <c r="VBZ37" s="759"/>
      <c r="VCA37" s="759"/>
      <c r="VCB37" s="759"/>
      <c r="VCC37" s="759"/>
      <c r="VCD37" s="759"/>
      <c r="VCE37" s="759"/>
      <c r="VCF37" s="759"/>
      <c r="VCG37" s="759"/>
      <c r="VCH37" s="759"/>
      <c r="VCI37" s="759"/>
      <c r="VCJ37" s="759"/>
      <c r="VCK37" s="759"/>
      <c r="VCL37" s="759"/>
      <c r="VCM37" s="759"/>
      <c r="VCN37" s="759"/>
      <c r="VCO37" s="759"/>
      <c r="VCP37" s="759"/>
      <c r="VCQ37" s="759"/>
      <c r="VCR37" s="759"/>
      <c r="VCS37" s="759"/>
      <c r="VCT37" s="759"/>
      <c r="VCU37" s="759"/>
      <c r="VCV37" s="759"/>
      <c r="VCW37" s="759"/>
      <c r="VCX37" s="759"/>
      <c r="VCY37" s="759"/>
      <c r="VCZ37" s="759"/>
      <c r="VDA37" s="759"/>
      <c r="VDB37" s="759"/>
      <c r="VDC37" s="759"/>
      <c r="VDD37" s="759"/>
      <c r="VDE37" s="759"/>
      <c r="VDF37" s="759"/>
      <c r="VDG37" s="759"/>
      <c r="VDH37" s="759"/>
      <c r="VDI37" s="759"/>
      <c r="VDJ37" s="759"/>
      <c r="VDK37" s="759"/>
      <c r="VDL37" s="759"/>
      <c r="VDM37" s="759"/>
      <c r="VDN37" s="759"/>
      <c r="VDO37" s="759"/>
      <c r="VDP37" s="759"/>
      <c r="VDQ37" s="759"/>
      <c r="VDR37" s="759"/>
      <c r="VDS37" s="759"/>
      <c r="VDT37" s="759"/>
      <c r="VDU37" s="759"/>
      <c r="VDV37" s="759"/>
      <c r="VDW37" s="759"/>
      <c r="VDX37" s="759"/>
      <c r="VDY37" s="759"/>
      <c r="VDZ37" s="759"/>
      <c r="VEA37" s="759"/>
      <c r="VEB37" s="759"/>
      <c r="VEC37" s="759"/>
      <c r="VED37" s="759"/>
      <c r="VEE37" s="759"/>
      <c r="VEF37" s="759"/>
      <c r="VEG37" s="759"/>
      <c r="VEH37" s="759"/>
      <c r="VEI37" s="759"/>
      <c r="VEJ37" s="759"/>
      <c r="VEK37" s="759"/>
      <c r="VEL37" s="759"/>
      <c r="VEM37" s="759"/>
      <c r="VEN37" s="759"/>
      <c r="VEO37" s="759"/>
      <c r="VEP37" s="759"/>
      <c r="VEQ37" s="759"/>
      <c r="VER37" s="759"/>
      <c r="VES37" s="759"/>
      <c r="VET37" s="759"/>
      <c r="VEU37" s="759"/>
      <c r="VEV37" s="759"/>
      <c r="VEW37" s="759"/>
      <c r="VEX37" s="759"/>
      <c r="VEY37" s="759"/>
      <c r="VEZ37" s="759"/>
      <c r="VFA37" s="759"/>
      <c r="VFB37" s="759"/>
      <c r="VFC37" s="759"/>
      <c r="VFD37" s="759"/>
      <c r="VFE37" s="759"/>
      <c r="VFF37" s="759"/>
      <c r="VFG37" s="759"/>
      <c r="VFH37" s="759"/>
      <c r="VFI37" s="759"/>
      <c r="VFJ37" s="759"/>
      <c r="VFK37" s="759"/>
      <c r="VFL37" s="759"/>
      <c r="VFM37" s="759"/>
      <c r="VFN37" s="759"/>
      <c r="VFO37" s="759"/>
      <c r="VFP37" s="759"/>
      <c r="VFQ37" s="759"/>
      <c r="VFR37" s="759"/>
      <c r="VFS37" s="759"/>
      <c r="VFT37" s="759"/>
      <c r="VFU37" s="759"/>
      <c r="VFV37" s="759"/>
      <c r="VFW37" s="759"/>
      <c r="VFX37" s="759"/>
      <c r="VFY37" s="759"/>
      <c r="VFZ37" s="759"/>
      <c r="VGA37" s="759"/>
      <c r="VGB37" s="759"/>
      <c r="VGC37" s="759"/>
      <c r="VGD37" s="759"/>
      <c r="VGE37" s="759"/>
      <c r="VGF37" s="759"/>
      <c r="VGG37" s="759"/>
      <c r="VGH37" s="759"/>
      <c r="VGI37" s="759"/>
      <c r="VGJ37" s="759"/>
      <c r="VGK37" s="759"/>
      <c r="VGL37" s="759"/>
      <c r="VGM37" s="759"/>
      <c r="VGN37" s="759"/>
      <c r="VGO37" s="759"/>
      <c r="VGP37" s="759"/>
      <c r="VGQ37" s="759"/>
      <c r="VGR37" s="759"/>
      <c r="VGS37" s="759"/>
      <c r="VGT37" s="759"/>
      <c r="VGU37" s="759"/>
      <c r="VGV37" s="759"/>
      <c r="VGW37" s="759"/>
      <c r="VGX37" s="759"/>
      <c r="VGY37" s="759"/>
      <c r="VGZ37" s="759"/>
      <c r="VHA37" s="759"/>
      <c r="VHB37" s="759"/>
      <c r="VHC37" s="759"/>
      <c r="VHD37" s="759"/>
      <c r="VHE37" s="759"/>
      <c r="VHF37" s="759"/>
      <c r="VHG37" s="759"/>
      <c r="VHH37" s="759"/>
      <c r="VHI37" s="759"/>
      <c r="VHJ37" s="759"/>
      <c r="VHK37" s="759"/>
      <c r="VHL37" s="759"/>
      <c r="VHM37" s="759"/>
      <c r="VHN37" s="759"/>
      <c r="VHO37" s="759"/>
      <c r="VHP37" s="759"/>
      <c r="VHQ37" s="759"/>
      <c r="VHR37" s="759"/>
      <c r="VHS37" s="759"/>
      <c r="VHT37" s="759"/>
      <c r="VHU37" s="759"/>
      <c r="VHV37" s="759"/>
      <c r="VHW37" s="759"/>
      <c r="VHX37" s="759"/>
      <c r="VHY37" s="759"/>
      <c r="VHZ37" s="759"/>
      <c r="VIA37" s="759"/>
      <c r="VIB37" s="759"/>
      <c r="VIC37" s="759"/>
      <c r="VID37" s="759"/>
      <c r="VIE37" s="759"/>
      <c r="VIF37" s="759"/>
      <c r="VIG37" s="759"/>
      <c r="VIH37" s="759"/>
      <c r="VII37" s="759"/>
      <c r="VIJ37" s="759"/>
      <c r="VIK37" s="759"/>
      <c r="VIL37" s="759"/>
      <c r="VIM37" s="759"/>
      <c r="VIN37" s="759"/>
      <c r="VIO37" s="759"/>
      <c r="VIP37" s="759"/>
      <c r="VIQ37" s="759"/>
      <c r="VIR37" s="759"/>
      <c r="VIS37" s="759"/>
      <c r="VIT37" s="759"/>
      <c r="VIU37" s="759"/>
      <c r="VIV37" s="759"/>
      <c r="VIW37" s="759"/>
      <c r="VIX37" s="759"/>
      <c r="VIY37" s="759"/>
      <c r="VIZ37" s="759"/>
      <c r="VJA37" s="759"/>
      <c r="VJB37" s="759"/>
      <c r="VJC37" s="759"/>
      <c r="VJD37" s="759"/>
      <c r="VJE37" s="759"/>
      <c r="VJF37" s="759"/>
      <c r="VJG37" s="759"/>
      <c r="VJH37" s="759"/>
      <c r="VJI37" s="759"/>
      <c r="VJJ37" s="759"/>
      <c r="VJK37" s="759"/>
      <c r="VJL37" s="759"/>
      <c r="VJM37" s="759"/>
      <c r="VJN37" s="759"/>
      <c r="VJO37" s="759"/>
      <c r="VJP37" s="759"/>
      <c r="VJQ37" s="759"/>
      <c r="VJR37" s="759"/>
      <c r="VJS37" s="759"/>
      <c r="VJT37" s="759"/>
      <c r="VJU37" s="759"/>
      <c r="VJV37" s="759"/>
      <c r="VJW37" s="759"/>
      <c r="VJX37" s="759"/>
      <c r="VJY37" s="759"/>
      <c r="VJZ37" s="759"/>
      <c r="VKA37" s="759"/>
      <c r="VKB37" s="759"/>
      <c r="VKC37" s="759"/>
      <c r="VKD37" s="759"/>
      <c r="VKE37" s="759"/>
      <c r="VKF37" s="759"/>
      <c r="VKG37" s="759"/>
      <c r="VKH37" s="759"/>
      <c r="VKI37" s="759"/>
      <c r="VKJ37" s="759"/>
      <c r="VKK37" s="759"/>
      <c r="VKL37" s="759"/>
      <c r="VKM37" s="759"/>
      <c r="VKN37" s="759"/>
      <c r="VKO37" s="759"/>
      <c r="VKP37" s="759"/>
      <c r="VKQ37" s="759"/>
      <c r="VKR37" s="759"/>
      <c r="VKS37" s="759"/>
      <c r="VKT37" s="759"/>
      <c r="VKU37" s="759"/>
      <c r="VKV37" s="759"/>
      <c r="VKW37" s="759"/>
      <c r="VKX37" s="759"/>
      <c r="VKY37" s="759"/>
      <c r="VKZ37" s="759"/>
      <c r="VLA37" s="759"/>
      <c r="VLB37" s="759"/>
      <c r="VLC37" s="759"/>
      <c r="VLD37" s="759"/>
      <c r="VLE37" s="759"/>
      <c r="VLF37" s="759"/>
      <c r="VLG37" s="759"/>
      <c r="VLH37" s="759"/>
      <c r="VLI37" s="759"/>
      <c r="VLJ37" s="759"/>
      <c r="VLK37" s="759"/>
      <c r="VLL37" s="759"/>
      <c r="VLM37" s="759"/>
      <c r="VLN37" s="759"/>
      <c r="VLO37" s="759"/>
      <c r="VLP37" s="759"/>
      <c r="VLQ37" s="759"/>
      <c r="VLR37" s="759"/>
      <c r="VLS37" s="759"/>
      <c r="VLT37" s="759"/>
      <c r="VLU37" s="759"/>
      <c r="VLV37" s="759"/>
      <c r="VLW37" s="759"/>
      <c r="VLX37" s="759"/>
      <c r="VLY37" s="759"/>
      <c r="VLZ37" s="759"/>
      <c r="VMA37" s="759"/>
      <c r="VMB37" s="759"/>
      <c r="VMC37" s="759"/>
      <c r="VMD37" s="759"/>
      <c r="VME37" s="759"/>
      <c r="VMF37" s="759"/>
      <c r="VMG37" s="759"/>
      <c r="VMH37" s="759"/>
      <c r="VMI37" s="759"/>
      <c r="VMJ37" s="759"/>
      <c r="VMK37" s="759"/>
      <c r="VML37" s="759"/>
      <c r="VMM37" s="759"/>
      <c r="VMN37" s="759"/>
      <c r="VMO37" s="759"/>
      <c r="VMP37" s="759"/>
      <c r="VMQ37" s="759"/>
      <c r="VMR37" s="759"/>
      <c r="VMS37" s="759"/>
      <c r="VMT37" s="759"/>
      <c r="VMU37" s="759"/>
      <c r="VMV37" s="759"/>
      <c r="VMW37" s="759"/>
      <c r="VMX37" s="759"/>
      <c r="VMY37" s="759"/>
      <c r="VMZ37" s="759"/>
      <c r="VNA37" s="759"/>
      <c r="VNB37" s="759"/>
      <c r="VNC37" s="759"/>
      <c r="VND37" s="759"/>
      <c r="VNE37" s="759"/>
      <c r="VNF37" s="759"/>
      <c r="VNG37" s="759"/>
      <c r="VNH37" s="759"/>
      <c r="VNI37" s="759"/>
      <c r="VNJ37" s="759"/>
      <c r="VNK37" s="759"/>
      <c r="VNL37" s="759"/>
      <c r="VNM37" s="759"/>
      <c r="VNN37" s="759"/>
      <c r="VNO37" s="759"/>
      <c r="VNP37" s="759"/>
      <c r="VNQ37" s="759"/>
      <c r="VNR37" s="759"/>
      <c r="VNS37" s="759"/>
      <c r="VNT37" s="759"/>
      <c r="VNU37" s="759"/>
      <c r="VNV37" s="759"/>
      <c r="VNW37" s="759"/>
      <c r="VNX37" s="759"/>
      <c r="VNY37" s="759"/>
      <c r="VNZ37" s="759"/>
      <c r="VOA37" s="759"/>
      <c r="VOB37" s="759"/>
      <c r="VOC37" s="759"/>
      <c r="VOD37" s="759"/>
      <c r="VOE37" s="759"/>
      <c r="VOF37" s="759"/>
      <c r="VOG37" s="759"/>
      <c r="VOH37" s="759"/>
      <c r="VOI37" s="759"/>
      <c r="VOJ37" s="759"/>
      <c r="VOK37" s="759"/>
      <c r="VOL37" s="759"/>
      <c r="VOM37" s="759"/>
      <c r="VON37" s="759"/>
      <c r="VOO37" s="759"/>
      <c r="VOP37" s="759"/>
      <c r="VOQ37" s="759"/>
      <c r="VOR37" s="759"/>
      <c r="VOS37" s="759"/>
      <c r="VOT37" s="759"/>
      <c r="VOU37" s="759"/>
      <c r="VOV37" s="759"/>
      <c r="VOW37" s="759"/>
      <c r="VOX37" s="759"/>
      <c r="VOY37" s="759"/>
      <c r="VOZ37" s="759"/>
      <c r="VPA37" s="759"/>
      <c r="VPB37" s="759"/>
      <c r="VPC37" s="759"/>
      <c r="VPD37" s="759"/>
      <c r="VPE37" s="759"/>
      <c r="VPF37" s="759"/>
      <c r="VPG37" s="759"/>
      <c r="VPH37" s="759"/>
      <c r="VPI37" s="759"/>
      <c r="VPJ37" s="759"/>
      <c r="VPK37" s="759"/>
      <c r="VPL37" s="759"/>
      <c r="VPM37" s="759"/>
      <c r="VPN37" s="759"/>
      <c r="VPO37" s="759"/>
      <c r="VPP37" s="759"/>
      <c r="VPQ37" s="759"/>
      <c r="VPR37" s="759"/>
      <c r="VPS37" s="759"/>
      <c r="VPT37" s="759"/>
      <c r="VPU37" s="759"/>
      <c r="VPV37" s="759"/>
      <c r="VPW37" s="759"/>
      <c r="VPX37" s="759"/>
      <c r="VPY37" s="759"/>
      <c r="VPZ37" s="759"/>
      <c r="VQA37" s="759"/>
      <c r="VQB37" s="759"/>
      <c r="VQC37" s="759"/>
      <c r="VQD37" s="759"/>
      <c r="VQE37" s="759"/>
      <c r="VQF37" s="759"/>
      <c r="VQG37" s="759"/>
      <c r="VQH37" s="759"/>
      <c r="VQI37" s="759"/>
      <c r="VQJ37" s="759"/>
      <c r="VQK37" s="759"/>
      <c r="VQL37" s="759"/>
      <c r="VQM37" s="759"/>
      <c r="VQN37" s="759"/>
      <c r="VQO37" s="759"/>
      <c r="VQP37" s="759"/>
      <c r="VQQ37" s="759"/>
      <c r="VQR37" s="759"/>
      <c r="VQS37" s="759"/>
      <c r="VQT37" s="759"/>
      <c r="VQU37" s="759"/>
      <c r="VQV37" s="759"/>
      <c r="VQW37" s="759"/>
      <c r="VQX37" s="759"/>
      <c r="VQY37" s="759"/>
      <c r="VQZ37" s="759"/>
      <c r="VRA37" s="759"/>
      <c r="VRB37" s="759"/>
      <c r="VRC37" s="759"/>
      <c r="VRD37" s="759"/>
      <c r="VRE37" s="759"/>
      <c r="VRF37" s="759"/>
      <c r="VRG37" s="759"/>
      <c r="VRH37" s="759"/>
      <c r="VRI37" s="759"/>
      <c r="VRJ37" s="759"/>
      <c r="VRK37" s="759"/>
      <c r="VRL37" s="759"/>
      <c r="VRM37" s="759"/>
      <c r="VRN37" s="759"/>
      <c r="VRO37" s="759"/>
      <c r="VRP37" s="759"/>
      <c r="VRQ37" s="759"/>
      <c r="VRR37" s="759"/>
      <c r="VRS37" s="759"/>
      <c r="VRT37" s="759"/>
      <c r="VRU37" s="759"/>
      <c r="VRV37" s="759"/>
      <c r="VRW37" s="759"/>
      <c r="VRX37" s="759"/>
      <c r="VRY37" s="759"/>
      <c r="VRZ37" s="759"/>
      <c r="VSA37" s="759"/>
      <c r="VSB37" s="759"/>
      <c r="VSC37" s="759"/>
      <c r="VSD37" s="759"/>
      <c r="VSE37" s="759"/>
      <c r="VSF37" s="759"/>
      <c r="VSG37" s="759"/>
      <c r="VSH37" s="759"/>
      <c r="VSI37" s="759"/>
      <c r="VSJ37" s="759"/>
      <c r="VSK37" s="759"/>
      <c r="VSL37" s="759"/>
      <c r="VSM37" s="759"/>
      <c r="VSN37" s="759"/>
      <c r="VSO37" s="759"/>
      <c r="VSP37" s="759"/>
      <c r="VSQ37" s="759"/>
      <c r="VSR37" s="759"/>
      <c r="VSS37" s="759"/>
      <c r="VST37" s="759"/>
      <c r="VSU37" s="759"/>
      <c r="VSV37" s="759"/>
      <c r="VSW37" s="759"/>
      <c r="VSX37" s="759"/>
      <c r="VSY37" s="759"/>
      <c r="VSZ37" s="759"/>
      <c r="VTA37" s="759"/>
      <c r="VTB37" s="759"/>
      <c r="VTC37" s="759"/>
      <c r="VTD37" s="759"/>
      <c r="VTE37" s="759"/>
      <c r="VTF37" s="759"/>
      <c r="VTG37" s="759"/>
      <c r="VTH37" s="759"/>
      <c r="VTI37" s="759"/>
      <c r="VTJ37" s="759"/>
      <c r="VTK37" s="759"/>
      <c r="VTL37" s="759"/>
      <c r="VTM37" s="759"/>
      <c r="VTN37" s="759"/>
      <c r="VTO37" s="759"/>
      <c r="VTP37" s="759"/>
      <c r="VTQ37" s="759"/>
      <c r="VTR37" s="759"/>
      <c r="VTS37" s="759"/>
      <c r="VTT37" s="759"/>
      <c r="VTU37" s="759"/>
      <c r="VTV37" s="759"/>
      <c r="VTW37" s="759"/>
      <c r="VTX37" s="759"/>
      <c r="VTY37" s="759"/>
      <c r="VTZ37" s="759"/>
      <c r="VUA37" s="759"/>
      <c r="VUB37" s="759"/>
      <c r="VUC37" s="759"/>
      <c r="VUD37" s="759"/>
      <c r="VUE37" s="759"/>
      <c r="VUF37" s="759"/>
      <c r="VUG37" s="759"/>
      <c r="VUH37" s="759"/>
      <c r="VUI37" s="759"/>
      <c r="VUJ37" s="759"/>
      <c r="VUK37" s="759"/>
      <c r="VUL37" s="759"/>
      <c r="VUM37" s="759"/>
      <c r="VUN37" s="759"/>
      <c r="VUO37" s="759"/>
      <c r="VUP37" s="759"/>
      <c r="VUQ37" s="759"/>
      <c r="VUR37" s="759"/>
      <c r="VUS37" s="759"/>
      <c r="VUT37" s="759"/>
      <c r="VUU37" s="759"/>
      <c r="VUV37" s="759"/>
      <c r="VUW37" s="759"/>
      <c r="VUX37" s="759"/>
      <c r="VUY37" s="759"/>
      <c r="VUZ37" s="759"/>
      <c r="VVA37" s="759"/>
      <c r="VVB37" s="759"/>
      <c r="VVC37" s="759"/>
      <c r="VVD37" s="759"/>
      <c r="VVE37" s="759"/>
      <c r="VVF37" s="759"/>
      <c r="VVG37" s="759"/>
      <c r="VVH37" s="759"/>
      <c r="VVI37" s="759"/>
      <c r="VVJ37" s="759"/>
      <c r="VVK37" s="759"/>
      <c r="VVL37" s="759"/>
      <c r="VVM37" s="759"/>
      <c r="VVN37" s="759"/>
      <c r="VVO37" s="759"/>
      <c r="VVP37" s="759"/>
      <c r="VVQ37" s="759"/>
      <c r="VVR37" s="759"/>
      <c r="VVS37" s="759"/>
      <c r="VVT37" s="759"/>
      <c r="VVU37" s="759"/>
      <c r="VVV37" s="759"/>
      <c r="VVW37" s="759"/>
      <c r="VVX37" s="759"/>
      <c r="VVY37" s="759"/>
      <c r="VVZ37" s="759"/>
      <c r="VWA37" s="759"/>
      <c r="VWB37" s="759"/>
      <c r="VWC37" s="759"/>
      <c r="VWD37" s="759"/>
      <c r="VWE37" s="759"/>
      <c r="VWF37" s="759"/>
      <c r="VWG37" s="759"/>
      <c r="VWH37" s="759"/>
      <c r="VWI37" s="759"/>
      <c r="VWJ37" s="759"/>
      <c r="VWK37" s="759"/>
      <c r="VWL37" s="759"/>
      <c r="VWM37" s="759"/>
      <c r="VWN37" s="759"/>
      <c r="VWO37" s="759"/>
      <c r="VWP37" s="759"/>
      <c r="VWQ37" s="759"/>
      <c r="VWR37" s="759"/>
      <c r="VWS37" s="759"/>
      <c r="VWT37" s="759"/>
      <c r="VWU37" s="759"/>
      <c r="VWV37" s="759"/>
      <c r="VWW37" s="759"/>
      <c r="VWX37" s="759"/>
      <c r="VWY37" s="759"/>
      <c r="VWZ37" s="759"/>
      <c r="VXA37" s="759"/>
      <c r="VXB37" s="759"/>
      <c r="VXC37" s="759"/>
      <c r="VXD37" s="759"/>
      <c r="VXE37" s="759"/>
      <c r="VXF37" s="759"/>
      <c r="VXG37" s="759"/>
      <c r="VXH37" s="759"/>
      <c r="VXI37" s="759"/>
      <c r="VXJ37" s="759"/>
      <c r="VXK37" s="759"/>
      <c r="VXL37" s="759"/>
      <c r="VXM37" s="759"/>
      <c r="VXN37" s="759"/>
      <c r="VXO37" s="759"/>
      <c r="VXP37" s="759"/>
      <c r="VXQ37" s="759"/>
      <c r="VXR37" s="759"/>
      <c r="VXS37" s="759"/>
      <c r="VXT37" s="759"/>
      <c r="VXU37" s="759"/>
      <c r="VXV37" s="759"/>
      <c r="VXW37" s="759"/>
      <c r="VXX37" s="759"/>
      <c r="VXY37" s="759"/>
      <c r="VXZ37" s="759"/>
      <c r="VYA37" s="759"/>
      <c r="VYB37" s="759"/>
      <c r="VYC37" s="759"/>
      <c r="VYD37" s="759"/>
      <c r="VYE37" s="759"/>
      <c r="VYF37" s="759"/>
      <c r="VYG37" s="759"/>
      <c r="VYH37" s="759"/>
      <c r="VYI37" s="759"/>
      <c r="VYJ37" s="759"/>
      <c r="VYK37" s="759"/>
      <c r="VYL37" s="759"/>
      <c r="VYM37" s="759"/>
      <c r="VYN37" s="759"/>
      <c r="VYO37" s="759"/>
      <c r="VYP37" s="759"/>
      <c r="VYQ37" s="759"/>
      <c r="VYR37" s="759"/>
      <c r="VYS37" s="759"/>
      <c r="VYT37" s="759"/>
      <c r="VYU37" s="759"/>
      <c r="VYV37" s="759"/>
      <c r="VYW37" s="759"/>
      <c r="VYX37" s="759"/>
      <c r="VYY37" s="759"/>
      <c r="VYZ37" s="759"/>
      <c r="VZA37" s="759"/>
      <c r="VZB37" s="759"/>
      <c r="VZC37" s="759"/>
      <c r="VZD37" s="759"/>
      <c r="VZE37" s="759"/>
      <c r="VZF37" s="759"/>
      <c r="VZG37" s="759"/>
      <c r="VZH37" s="759"/>
      <c r="VZI37" s="759"/>
      <c r="VZJ37" s="759"/>
      <c r="VZK37" s="759"/>
      <c r="VZL37" s="759"/>
      <c r="VZM37" s="759"/>
      <c r="VZN37" s="759"/>
      <c r="VZO37" s="759"/>
      <c r="VZP37" s="759"/>
      <c r="VZQ37" s="759"/>
      <c r="VZR37" s="759"/>
      <c r="VZS37" s="759"/>
      <c r="VZT37" s="759"/>
      <c r="VZU37" s="759"/>
      <c r="VZV37" s="759"/>
      <c r="VZW37" s="759"/>
      <c r="VZX37" s="759"/>
      <c r="VZY37" s="759"/>
      <c r="VZZ37" s="759"/>
      <c r="WAA37" s="759"/>
      <c r="WAB37" s="759"/>
      <c r="WAC37" s="759"/>
      <c r="WAD37" s="759"/>
      <c r="WAE37" s="759"/>
      <c r="WAF37" s="759"/>
      <c r="WAG37" s="759"/>
      <c r="WAH37" s="759"/>
      <c r="WAI37" s="759"/>
      <c r="WAJ37" s="759"/>
      <c r="WAK37" s="759"/>
      <c r="WAL37" s="759"/>
      <c r="WAM37" s="759"/>
      <c r="WAN37" s="759"/>
      <c r="WAO37" s="759"/>
      <c r="WAP37" s="759"/>
      <c r="WAQ37" s="759"/>
      <c r="WAR37" s="759"/>
      <c r="WAS37" s="759"/>
      <c r="WAT37" s="759"/>
      <c r="WAU37" s="759"/>
      <c r="WAV37" s="759"/>
      <c r="WAW37" s="759"/>
      <c r="WAX37" s="759"/>
      <c r="WAY37" s="759"/>
      <c r="WAZ37" s="759"/>
      <c r="WBA37" s="759"/>
      <c r="WBB37" s="759"/>
      <c r="WBC37" s="759"/>
      <c r="WBD37" s="759"/>
      <c r="WBE37" s="759"/>
      <c r="WBF37" s="759"/>
      <c r="WBG37" s="759"/>
      <c r="WBH37" s="759"/>
      <c r="WBI37" s="759"/>
      <c r="WBJ37" s="759"/>
      <c r="WBK37" s="759"/>
      <c r="WBL37" s="759"/>
      <c r="WBM37" s="759"/>
      <c r="WBN37" s="759"/>
      <c r="WBO37" s="759"/>
      <c r="WBP37" s="759"/>
      <c r="WBQ37" s="759"/>
      <c r="WBR37" s="759"/>
      <c r="WBS37" s="759"/>
      <c r="WBT37" s="759"/>
      <c r="WBU37" s="759"/>
      <c r="WBV37" s="759"/>
      <c r="WBW37" s="759"/>
      <c r="WBX37" s="759"/>
      <c r="WBY37" s="759"/>
      <c r="WBZ37" s="759"/>
      <c r="WCA37" s="759"/>
      <c r="WCB37" s="759"/>
      <c r="WCC37" s="759"/>
      <c r="WCD37" s="759"/>
      <c r="WCE37" s="759"/>
      <c r="WCF37" s="759"/>
      <c r="WCG37" s="759"/>
      <c r="WCH37" s="759"/>
      <c r="WCI37" s="759"/>
      <c r="WCJ37" s="759"/>
      <c r="WCK37" s="759"/>
      <c r="WCL37" s="759"/>
      <c r="WCM37" s="759"/>
      <c r="WCN37" s="759"/>
      <c r="WCO37" s="759"/>
      <c r="WCP37" s="759"/>
      <c r="WCQ37" s="759"/>
      <c r="WCR37" s="759"/>
      <c r="WCS37" s="759"/>
      <c r="WCT37" s="759"/>
      <c r="WCU37" s="759"/>
      <c r="WCV37" s="759"/>
      <c r="WCW37" s="759"/>
      <c r="WCX37" s="759"/>
      <c r="WCY37" s="759"/>
      <c r="WCZ37" s="759"/>
      <c r="WDA37" s="759"/>
      <c r="WDB37" s="759"/>
      <c r="WDC37" s="759"/>
      <c r="WDD37" s="759"/>
      <c r="WDE37" s="759"/>
      <c r="WDF37" s="759"/>
      <c r="WDG37" s="759"/>
      <c r="WDH37" s="759"/>
      <c r="WDI37" s="759"/>
      <c r="WDJ37" s="759"/>
      <c r="WDK37" s="759"/>
      <c r="WDL37" s="759"/>
      <c r="WDM37" s="759"/>
      <c r="WDN37" s="759"/>
      <c r="WDO37" s="759"/>
      <c r="WDP37" s="759"/>
      <c r="WDQ37" s="759"/>
      <c r="WDR37" s="759"/>
      <c r="WDS37" s="759"/>
      <c r="WDT37" s="759"/>
      <c r="WDU37" s="759"/>
      <c r="WDV37" s="759"/>
      <c r="WDW37" s="759"/>
      <c r="WDX37" s="759"/>
      <c r="WDY37" s="759"/>
      <c r="WDZ37" s="759"/>
      <c r="WEA37" s="759"/>
      <c r="WEB37" s="759"/>
      <c r="WEC37" s="759"/>
      <c r="WED37" s="759"/>
      <c r="WEE37" s="759"/>
      <c r="WEF37" s="759"/>
      <c r="WEG37" s="759"/>
      <c r="WEH37" s="759"/>
      <c r="WEI37" s="759"/>
      <c r="WEJ37" s="759"/>
      <c r="WEK37" s="759"/>
      <c r="WEL37" s="759"/>
      <c r="WEM37" s="759"/>
      <c r="WEN37" s="759"/>
      <c r="WEO37" s="759"/>
      <c r="WEP37" s="759"/>
      <c r="WEQ37" s="759"/>
      <c r="WER37" s="759"/>
      <c r="WES37" s="759"/>
      <c r="WET37" s="759"/>
      <c r="WEU37" s="759"/>
      <c r="WEV37" s="759"/>
      <c r="WEW37" s="759"/>
      <c r="WEX37" s="759"/>
      <c r="WEY37" s="759"/>
      <c r="WEZ37" s="759"/>
      <c r="WFA37" s="759"/>
      <c r="WFB37" s="759"/>
      <c r="WFC37" s="759"/>
      <c r="WFD37" s="759"/>
      <c r="WFE37" s="759"/>
      <c r="WFF37" s="759"/>
      <c r="WFG37" s="759"/>
      <c r="WFH37" s="759"/>
      <c r="WFI37" s="759"/>
      <c r="WFJ37" s="759"/>
      <c r="WFK37" s="759"/>
      <c r="WFL37" s="759"/>
      <c r="WFM37" s="759"/>
      <c r="WFN37" s="759"/>
      <c r="WFO37" s="759"/>
      <c r="WFP37" s="759"/>
      <c r="WFQ37" s="759"/>
      <c r="WFR37" s="759"/>
      <c r="WFS37" s="759"/>
      <c r="WFT37" s="759"/>
      <c r="WFU37" s="759"/>
      <c r="WFV37" s="759"/>
      <c r="WFW37" s="759"/>
      <c r="WFX37" s="759"/>
      <c r="WFY37" s="759"/>
      <c r="WFZ37" s="759"/>
      <c r="WGA37" s="759"/>
      <c r="WGB37" s="759"/>
      <c r="WGC37" s="759"/>
      <c r="WGD37" s="759"/>
      <c r="WGE37" s="759"/>
      <c r="WGF37" s="759"/>
      <c r="WGG37" s="759"/>
      <c r="WGH37" s="759"/>
      <c r="WGI37" s="759"/>
      <c r="WGJ37" s="759"/>
      <c r="WGK37" s="759"/>
      <c r="WGL37" s="759"/>
      <c r="WGM37" s="759"/>
      <c r="WGN37" s="759"/>
      <c r="WGO37" s="759"/>
      <c r="WGP37" s="759"/>
      <c r="WGQ37" s="759"/>
      <c r="WGR37" s="759"/>
      <c r="WGS37" s="759"/>
      <c r="WGT37" s="759"/>
      <c r="WGU37" s="759"/>
      <c r="WGV37" s="759"/>
      <c r="WGW37" s="759"/>
      <c r="WGX37" s="759"/>
      <c r="WGY37" s="759"/>
      <c r="WGZ37" s="759"/>
      <c r="WHA37" s="759"/>
      <c r="WHB37" s="759"/>
      <c r="WHC37" s="759"/>
      <c r="WHD37" s="759"/>
      <c r="WHE37" s="759"/>
      <c r="WHF37" s="759"/>
      <c r="WHG37" s="759"/>
      <c r="WHH37" s="759"/>
      <c r="WHI37" s="759"/>
      <c r="WHJ37" s="759"/>
      <c r="WHK37" s="759"/>
      <c r="WHL37" s="759"/>
      <c r="WHM37" s="759"/>
      <c r="WHN37" s="759"/>
      <c r="WHO37" s="759"/>
      <c r="WHP37" s="759"/>
      <c r="WHQ37" s="759"/>
      <c r="WHR37" s="759"/>
      <c r="WHS37" s="759"/>
      <c r="WHT37" s="759"/>
      <c r="WHU37" s="759"/>
      <c r="WHV37" s="759"/>
      <c r="WHW37" s="759"/>
      <c r="WHX37" s="759"/>
      <c r="WHY37" s="759"/>
      <c r="WHZ37" s="759"/>
      <c r="WIA37" s="759"/>
      <c r="WIB37" s="759"/>
      <c r="WIC37" s="759"/>
      <c r="WID37" s="759"/>
      <c r="WIE37" s="759"/>
      <c r="WIF37" s="759"/>
      <c r="WIG37" s="759"/>
      <c r="WIH37" s="759"/>
      <c r="WII37" s="759"/>
      <c r="WIJ37" s="759"/>
      <c r="WIK37" s="759"/>
      <c r="WIL37" s="759"/>
      <c r="WIM37" s="759"/>
      <c r="WIN37" s="759"/>
      <c r="WIO37" s="759"/>
      <c r="WIP37" s="759"/>
      <c r="WIQ37" s="759"/>
      <c r="WIR37" s="759"/>
      <c r="WIS37" s="759"/>
      <c r="WIT37" s="759"/>
      <c r="WIU37" s="759"/>
      <c r="WIV37" s="759"/>
      <c r="WIW37" s="759"/>
      <c r="WIX37" s="759"/>
      <c r="WIY37" s="759"/>
      <c r="WIZ37" s="759"/>
      <c r="WJA37" s="759"/>
      <c r="WJB37" s="759"/>
      <c r="WJC37" s="759"/>
      <c r="WJD37" s="759"/>
      <c r="WJE37" s="759"/>
      <c r="WJF37" s="759"/>
      <c r="WJG37" s="759"/>
      <c r="WJH37" s="759"/>
      <c r="WJI37" s="759"/>
      <c r="WJJ37" s="759"/>
      <c r="WJK37" s="759"/>
      <c r="WJL37" s="759"/>
      <c r="WJM37" s="759"/>
      <c r="WJN37" s="759"/>
      <c r="WJO37" s="759"/>
      <c r="WJP37" s="759"/>
      <c r="WJQ37" s="759"/>
      <c r="WJR37" s="759"/>
      <c r="WJS37" s="759"/>
      <c r="WJT37" s="759"/>
      <c r="WJU37" s="759"/>
      <c r="WJV37" s="759"/>
      <c r="WJW37" s="759"/>
      <c r="WJX37" s="759"/>
      <c r="WJY37" s="759"/>
      <c r="WJZ37" s="759"/>
      <c r="WKA37" s="759"/>
      <c r="WKB37" s="759"/>
      <c r="WKC37" s="759"/>
      <c r="WKD37" s="759"/>
      <c r="WKE37" s="759"/>
      <c r="WKF37" s="759"/>
      <c r="WKG37" s="759"/>
      <c r="WKH37" s="759"/>
      <c r="WKI37" s="759"/>
      <c r="WKJ37" s="759"/>
      <c r="WKK37" s="759"/>
      <c r="WKL37" s="759"/>
      <c r="WKM37" s="759"/>
      <c r="WKN37" s="759"/>
      <c r="WKO37" s="759"/>
      <c r="WKP37" s="759"/>
      <c r="WKQ37" s="759"/>
      <c r="WKR37" s="759"/>
      <c r="WKS37" s="759"/>
      <c r="WKT37" s="759"/>
      <c r="WKU37" s="759"/>
      <c r="WKV37" s="759"/>
      <c r="WKW37" s="759"/>
      <c r="WKX37" s="759"/>
      <c r="WKY37" s="759"/>
      <c r="WKZ37" s="759"/>
      <c r="WLA37" s="759"/>
      <c r="WLB37" s="759"/>
      <c r="WLC37" s="759"/>
      <c r="WLD37" s="759"/>
      <c r="WLE37" s="759"/>
      <c r="WLF37" s="759"/>
      <c r="WLG37" s="759"/>
      <c r="WLH37" s="759"/>
      <c r="WLI37" s="759"/>
      <c r="WLJ37" s="759"/>
      <c r="WLK37" s="759"/>
      <c r="WLL37" s="759"/>
      <c r="WLM37" s="759"/>
      <c r="WLN37" s="759"/>
      <c r="WLO37" s="759"/>
      <c r="WLP37" s="759"/>
      <c r="WLQ37" s="759"/>
      <c r="WLR37" s="759"/>
      <c r="WLS37" s="759"/>
      <c r="WLT37" s="759"/>
      <c r="WLU37" s="759"/>
      <c r="WLV37" s="759"/>
      <c r="WLW37" s="759"/>
      <c r="WLX37" s="759"/>
      <c r="WLY37" s="759"/>
      <c r="WLZ37" s="759"/>
      <c r="WMA37" s="759"/>
      <c r="WMB37" s="759"/>
      <c r="WMC37" s="759"/>
      <c r="WMD37" s="759"/>
      <c r="WME37" s="759"/>
      <c r="WMF37" s="759"/>
      <c r="WMG37" s="759"/>
      <c r="WMH37" s="759"/>
      <c r="WMI37" s="759"/>
      <c r="WMJ37" s="759"/>
      <c r="WMK37" s="759"/>
      <c r="WML37" s="759"/>
      <c r="WMM37" s="759"/>
      <c r="WMN37" s="759"/>
      <c r="WMO37" s="759"/>
      <c r="WMP37" s="759"/>
      <c r="WMQ37" s="759"/>
      <c r="WMR37" s="759"/>
      <c r="WMS37" s="759"/>
      <c r="WMT37" s="759"/>
      <c r="WMU37" s="759"/>
      <c r="WMV37" s="759"/>
      <c r="WMW37" s="759"/>
      <c r="WMX37" s="759"/>
      <c r="WMY37" s="759"/>
      <c r="WMZ37" s="759"/>
      <c r="WNA37" s="759"/>
      <c r="WNB37" s="759"/>
      <c r="WNC37" s="759"/>
      <c r="WND37" s="759"/>
      <c r="WNE37" s="759"/>
      <c r="WNF37" s="759"/>
      <c r="WNG37" s="759"/>
      <c r="WNH37" s="759"/>
      <c r="WNI37" s="759"/>
      <c r="WNJ37" s="759"/>
      <c r="WNK37" s="759"/>
      <c r="WNL37" s="759"/>
      <c r="WNM37" s="759"/>
      <c r="WNN37" s="759"/>
      <c r="WNO37" s="759"/>
      <c r="WNP37" s="759"/>
      <c r="WNQ37" s="759"/>
      <c r="WNR37" s="759"/>
      <c r="WNS37" s="759"/>
      <c r="WNT37" s="759"/>
      <c r="WNU37" s="759"/>
      <c r="WNV37" s="759"/>
      <c r="WNW37" s="759"/>
      <c r="WNX37" s="759"/>
      <c r="WNY37" s="759"/>
      <c r="WNZ37" s="759"/>
      <c r="WOA37" s="759"/>
      <c r="WOB37" s="759"/>
      <c r="WOC37" s="759"/>
      <c r="WOD37" s="759"/>
      <c r="WOE37" s="759"/>
      <c r="WOF37" s="759"/>
      <c r="WOG37" s="759"/>
      <c r="WOH37" s="759"/>
      <c r="WOI37" s="759"/>
      <c r="WOJ37" s="759"/>
      <c r="WOK37" s="759"/>
      <c r="WOL37" s="759"/>
      <c r="WOM37" s="759"/>
      <c r="WON37" s="759"/>
      <c r="WOO37" s="759"/>
      <c r="WOP37" s="759"/>
      <c r="WOQ37" s="759"/>
      <c r="WOR37" s="759"/>
      <c r="WOS37" s="759"/>
      <c r="WOT37" s="759"/>
      <c r="WOU37" s="759"/>
      <c r="WOV37" s="759"/>
      <c r="WOW37" s="759"/>
      <c r="WOX37" s="759"/>
      <c r="WOY37" s="759"/>
      <c r="WOZ37" s="759"/>
      <c r="WPA37" s="759"/>
      <c r="WPB37" s="759"/>
      <c r="WPC37" s="759"/>
      <c r="WPD37" s="759"/>
      <c r="WPE37" s="759"/>
      <c r="WPF37" s="759"/>
      <c r="WPG37" s="759"/>
      <c r="WPH37" s="759"/>
      <c r="WPI37" s="759"/>
      <c r="WPJ37" s="759"/>
      <c r="WPK37" s="759"/>
      <c r="WPL37" s="759"/>
      <c r="WPM37" s="759"/>
      <c r="WPN37" s="759"/>
      <c r="WPO37" s="759"/>
      <c r="WPP37" s="759"/>
      <c r="WPQ37" s="759"/>
      <c r="WPR37" s="759"/>
      <c r="WPS37" s="759"/>
      <c r="WPT37" s="759"/>
      <c r="WPU37" s="759"/>
      <c r="WPV37" s="759"/>
      <c r="WPW37" s="759"/>
      <c r="WPX37" s="759"/>
      <c r="WPY37" s="759"/>
      <c r="WPZ37" s="759"/>
      <c r="WQA37" s="759"/>
      <c r="WQB37" s="759"/>
      <c r="WQC37" s="759"/>
      <c r="WQD37" s="759"/>
      <c r="WQE37" s="759"/>
      <c r="WQF37" s="759"/>
      <c r="WQG37" s="759"/>
      <c r="WQH37" s="759"/>
      <c r="WQI37" s="759"/>
      <c r="WQJ37" s="759"/>
      <c r="WQK37" s="759"/>
      <c r="WQL37" s="759"/>
      <c r="WQM37" s="759"/>
      <c r="WQN37" s="759"/>
      <c r="WQO37" s="759"/>
      <c r="WQP37" s="759"/>
      <c r="WQQ37" s="759"/>
      <c r="WQR37" s="759"/>
      <c r="WQS37" s="759"/>
      <c r="WQT37" s="759"/>
      <c r="WQU37" s="759"/>
      <c r="WQV37" s="759"/>
      <c r="WQW37" s="759"/>
      <c r="WQX37" s="759"/>
      <c r="WQY37" s="759"/>
      <c r="WQZ37" s="759"/>
      <c r="WRA37" s="759"/>
      <c r="WRB37" s="759"/>
      <c r="WRC37" s="759"/>
      <c r="WRD37" s="759"/>
      <c r="WRE37" s="759"/>
      <c r="WRF37" s="759"/>
      <c r="WRG37" s="759"/>
      <c r="WRH37" s="759"/>
      <c r="WRI37" s="759"/>
      <c r="WRJ37" s="759"/>
      <c r="WRK37" s="759"/>
      <c r="WRL37" s="759"/>
      <c r="WRM37" s="759"/>
      <c r="WRN37" s="759"/>
      <c r="WRO37" s="759"/>
      <c r="WRP37" s="759"/>
      <c r="WRQ37" s="759"/>
      <c r="WRR37" s="759"/>
      <c r="WRS37" s="759"/>
      <c r="WRT37" s="759"/>
      <c r="WRU37" s="759"/>
      <c r="WRV37" s="759"/>
      <c r="WRW37" s="759"/>
      <c r="WRX37" s="759"/>
      <c r="WRY37" s="759"/>
      <c r="WRZ37" s="759"/>
      <c r="WSA37" s="759"/>
      <c r="WSB37" s="759"/>
      <c r="WSC37" s="759"/>
      <c r="WSD37" s="759"/>
      <c r="WSE37" s="759"/>
      <c r="WSF37" s="759"/>
      <c r="WSG37" s="759"/>
      <c r="WSH37" s="759"/>
      <c r="WSI37" s="759"/>
      <c r="WSJ37" s="759"/>
      <c r="WSK37" s="759"/>
      <c r="WSL37" s="759"/>
      <c r="WSM37" s="759"/>
      <c r="WSN37" s="759"/>
      <c r="WSO37" s="759"/>
      <c r="WSP37" s="759"/>
      <c r="WSQ37" s="759"/>
      <c r="WSR37" s="759"/>
      <c r="WSS37" s="759"/>
      <c r="WST37" s="759"/>
      <c r="WSU37" s="759"/>
      <c r="WSV37" s="759"/>
      <c r="WSW37" s="759"/>
      <c r="WSX37" s="759"/>
      <c r="WSY37" s="759"/>
      <c r="WSZ37" s="759"/>
      <c r="WTA37" s="759"/>
      <c r="WTB37" s="759"/>
      <c r="WTC37" s="759"/>
      <c r="WTD37" s="759"/>
      <c r="WTE37" s="759"/>
      <c r="WTF37" s="759"/>
      <c r="WTG37" s="759"/>
      <c r="WTH37" s="759"/>
      <c r="WTI37" s="759"/>
      <c r="WTJ37" s="759"/>
      <c r="WTK37" s="759"/>
      <c r="WTL37" s="759"/>
      <c r="WTM37" s="759"/>
      <c r="WTN37" s="759"/>
      <c r="WTO37" s="759"/>
      <c r="WTP37" s="759"/>
      <c r="WTQ37" s="759"/>
      <c r="WTR37" s="759"/>
      <c r="WTS37" s="759"/>
      <c r="WTT37" s="759"/>
      <c r="WTU37" s="759"/>
      <c r="WTV37" s="759"/>
      <c r="WTW37" s="759"/>
      <c r="WTX37" s="759"/>
      <c r="WTY37" s="759"/>
      <c r="WTZ37" s="759"/>
      <c r="WUA37" s="759"/>
      <c r="WUB37" s="759"/>
      <c r="WUC37" s="759"/>
      <c r="WUD37" s="759"/>
      <c r="WUE37" s="759"/>
      <c r="WUF37" s="759"/>
      <c r="WUG37" s="759"/>
      <c r="WUH37" s="759"/>
      <c r="WUI37" s="759"/>
      <c r="WUJ37" s="759"/>
      <c r="WUK37" s="759"/>
      <c r="WUL37" s="759"/>
      <c r="WUM37" s="759"/>
      <c r="WUN37" s="759"/>
      <c r="WUO37" s="759"/>
      <c r="WUP37" s="759"/>
      <c r="WUQ37" s="759"/>
      <c r="WUR37" s="759"/>
      <c r="WUS37" s="759"/>
      <c r="WUT37" s="759"/>
      <c r="WUU37" s="759"/>
      <c r="WUV37" s="759"/>
      <c r="WUW37" s="759"/>
      <c r="WUX37" s="759"/>
      <c r="WUY37" s="759"/>
      <c r="WUZ37" s="759"/>
      <c r="WVA37" s="759"/>
      <c r="WVB37" s="759"/>
      <c r="WVC37" s="759"/>
      <c r="WVD37" s="759"/>
      <c r="WVE37" s="759"/>
      <c r="WVF37" s="759"/>
      <c r="WVG37" s="759"/>
      <c r="WVH37" s="759"/>
      <c r="WVI37" s="759"/>
      <c r="WVJ37" s="759"/>
      <c r="WVK37" s="759"/>
      <c r="WVL37" s="759"/>
      <c r="WVM37" s="759"/>
      <c r="WVN37" s="759"/>
      <c r="WVO37" s="759"/>
      <c r="WVP37" s="759"/>
      <c r="WVQ37" s="759"/>
      <c r="WVR37" s="759"/>
      <c r="WVS37" s="759"/>
      <c r="WVT37" s="759"/>
      <c r="WVU37" s="759"/>
      <c r="WVV37" s="759"/>
      <c r="WVW37" s="759"/>
      <c r="WVX37" s="759"/>
      <c r="WVY37" s="759"/>
      <c r="WVZ37" s="759"/>
      <c r="WWA37" s="759"/>
      <c r="WWB37" s="759"/>
      <c r="WWC37" s="759"/>
      <c r="WWD37" s="759"/>
      <c r="WWE37" s="759"/>
      <c r="WWF37" s="759"/>
      <c r="WWG37" s="759"/>
      <c r="WWH37" s="759"/>
      <c r="WWI37" s="759"/>
      <c r="WWJ37" s="759"/>
      <c r="WWK37" s="759"/>
      <c r="WWL37" s="759"/>
      <c r="WWM37" s="759"/>
      <c r="WWN37" s="759"/>
      <c r="WWO37" s="759"/>
      <c r="WWP37" s="759"/>
      <c r="WWQ37" s="759"/>
      <c r="WWR37" s="759"/>
      <c r="WWS37" s="759"/>
      <c r="WWT37" s="759"/>
      <c r="WWU37" s="759"/>
      <c r="WWV37" s="759"/>
      <c r="WWW37" s="759"/>
      <c r="WWX37" s="759"/>
      <c r="WWY37" s="759"/>
      <c r="WWZ37" s="759"/>
      <c r="WXA37" s="759"/>
      <c r="WXB37" s="759"/>
      <c r="WXC37" s="759"/>
      <c r="WXD37" s="759"/>
      <c r="WXE37" s="759"/>
      <c r="WXF37" s="759"/>
      <c r="WXG37" s="759"/>
      <c r="WXH37" s="759"/>
      <c r="WXI37" s="759"/>
      <c r="WXJ37" s="759"/>
      <c r="WXK37" s="759"/>
      <c r="WXL37" s="759"/>
      <c r="WXM37" s="759"/>
      <c r="WXN37" s="759"/>
      <c r="WXO37" s="759"/>
      <c r="WXP37" s="759"/>
      <c r="WXQ37" s="759"/>
      <c r="WXR37" s="759"/>
      <c r="WXS37" s="759"/>
      <c r="WXT37" s="759"/>
      <c r="WXU37" s="759"/>
      <c r="WXV37" s="759"/>
      <c r="WXW37" s="759"/>
      <c r="WXX37" s="759"/>
      <c r="WXY37" s="759"/>
      <c r="WXZ37" s="759"/>
      <c r="WYA37" s="759"/>
      <c r="WYB37" s="759"/>
      <c r="WYC37" s="759"/>
      <c r="WYD37" s="759"/>
      <c r="WYE37" s="759"/>
      <c r="WYF37" s="759"/>
      <c r="WYG37" s="759"/>
      <c r="WYH37" s="759"/>
      <c r="WYI37" s="759"/>
      <c r="WYJ37" s="759"/>
      <c r="WYK37" s="759"/>
      <c r="WYL37" s="759"/>
      <c r="WYM37" s="759"/>
      <c r="WYN37" s="759"/>
      <c r="WYO37" s="759"/>
      <c r="WYP37" s="759"/>
      <c r="WYQ37" s="759"/>
      <c r="WYR37" s="759"/>
      <c r="WYS37" s="759"/>
      <c r="WYT37" s="759"/>
      <c r="WYU37" s="759"/>
      <c r="WYV37" s="759"/>
      <c r="WYW37" s="759"/>
      <c r="WYX37" s="759"/>
      <c r="WYY37" s="759"/>
      <c r="WYZ37" s="759"/>
      <c r="WZA37" s="759"/>
      <c r="WZB37" s="759"/>
      <c r="WZC37" s="759"/>
      <c r="WZD37" s="759"/>
      <c r="WZE37" s="759"/>
      <c r="WZF37" s="759"/>
      <c r="WZG37" s="759"/>
      <c r="WZH37" s="759"/>
      <c r="WZI37" s="759"/>
      <c r="WZJ37" s="759"/>
      <c r="WZK37" s="759"/>
      <c r="WZL37" s="759"/>
      <c r="WZM37" s="759"/>
      <c r="WZN37" s="759"/>
      <c r="WZO37" s="759"/>
      <c r="WZP37" s="759"/>
      <c r="WZQ37" s="759"/>
      <c r="WZR37" s="759"/>
      <c r="WZS37" s="759"/>
      <c r="WZT37" s="759"/>
      <c r="WZU37" s="759"/>
      <c r="WZV37" s="759"/>
      <c r="WZW37" s="759"/>
      <c r="WZX37" s="759"/>
      <c r="WZY37" s="759"/>
      <c r="WZZ37" s="759"/>
      <c r="XAA37" s="759"/>
      <c r="XAB37" s="759"/>
      <c r="XAC37" s="759"/>
      <c r="XAD37" s="759"/>
      <c r="XAE37" s="759"/>
      <c r="XAF37" s="759"/>
      <c r="XAG37" s="759"/>
      <c r="XAH37" s="759"/>
      <c r="XAI37" s="759"/>
      <c r="XAJ37" s="759"/>
      <c r="XAK37" s="759"/>
      <c r="XAL37" s="759"/>
      <c r="XAM37" s="759"/>
      <c r="XAN37" s="759"/>
      <c r="XAO37" s="759"/>
      <c r="XAP37" s="759"/>
      <c r="XAQ37" s="759"/>
      <c r="XAR37" s="759"/>
      <c r="XAS37" s="759"/>
      <c r="XAT37" s="759"/>
      <c r="XAU37" s="759"/>
      <c r="XAV37" s="759"/>
      <c r="XAW37" s="759"/>
      <c r="XAX37" s="759"/>
      <c r="XAY37" s="759"/>
      <c r="XAZ37" s="759"/>
      <c r="XBA37" s="759"/>
      <c r="XBB37" s="759"/>
      <c r="XBC37" s="759"/>
      <c r="XBD37" s="759"/>
      <c r="XBE37" s="759"/>
      <c r="XBF37" s="759"/>
      <c r="XBG37" s="759"/>
      <c r="XBH37" s="759"/>
      <c r="XBI37" s="759"/>
      <c r="XBJ37" s="759"/>
      <c r="XBK37" s="759"/>
      <c r="XBL37" s="759"/>
      <c r="XBM37" s="759"/>
      <c r="XBN37" s="759"/>
      <c r="XBO37" s="759"/>
      <c r="XBP37" s="759"/>
      <c r="XBQ37" s="759"/>
      <c r="XBR37" s="759"/>
      <c r="XBS37" s="759"/>
      <c r="XBT37" s="759"/>
      <c r="XBU37" s="759"/>
      <c r="XBV37" s="759"/>
      <c r="XBW37" s="759"/>
      <c r="XBX37" s="759"/>
      <c r="XBY37" s="759"/>
      <c r="XBZ37" s="759"/>
      <c r="XCA37" s="759"/>
      <c r="XCB37" s="759"/>
      <c r="XCC37" s="759"/>
      <c r="XCD37" s="759"/>
      <c r="XCE37" s="759"/>
      <c r="XCF37" s="759"/>
      <c r="XCG37" s="759"/>
      <c r="XCH37" s="759"/>
      <c r="XCI37" s="759"/>
      <c r="XCJ37" s="759"/>
      <c r="XCK37" s="759"/>
      <c r="XCL37" s="759"/>
      <c r="XCM37" s="759"/>
      <c r="XCN37" s="759"/>
      <c r="XCO37" s="759"/>
      <c r="XCP37" s="759"/>
      <c r="XCQ37" s="759"/>
      <c r="XCR37" s="759"/>
      <c r="XCS37" s="759"/>
      <c r="XCT37" s="759"/>
      <c r="XCU37" s="759"/>
      <c r="XCV37" s="759"/>
      <c r="XCW37" s="759"/>
      <c r="XCX37" s="759"/>
      <c r="XCY37" s="759"/>
      <c r="XCZ37" s="759"/>
      <c r="XDA37" s="759"/>
      <c r="XDB37" s="759"/>
      <c r="XDC37" s="759"/>
      <c r="XDD37" s="759"/>
      <c r="XDE37" s="759"/>
      <c r="XDF37" s="759"/>
      <c r="XDG37" s="759"/>
      <c r="XDH37" s="759"/>
      <c r="XDI37" s="759"/>
      <c r="XDJ37" s="759"/>
      <c r="XDK37" s="759"/>
      <c r="XDL37" s="759"/>
      <c r="XDM37" s="759"/>
      <c r="XDN37" s="759"/>
      <c r="XDO37" s="759"/>
      <c r="XDP37" s="759"/>
      <c r="XDQ37" s="759"/>
      <c r="XDR37" s="759"/>
      <c r="XDS37" s="759"/>
      <c r="XDT37" s="759"/>
      <c r="XDU37" s="759"/>
      <c r="XDV37" s="759"/>
      <c r="XDW37" s="759"/>
      <c r="XDX37" s="759"/>
      <c r="XDY37" s="759"/>
      <c r="XDZ37" s="759"/>
      <c r="XEA37" s="759"/>
      <c r="XEB37" s="759"/>
      <c r="XEC37" s="759"/>
      <c r="XED37" s="759"/>
      <c r="XEE37" s="759"/>
      <c r="XEF37" s="759"/>
      <c r="XEG37" s="759"/>
      <c r="XEH37" s="759"/>
      <c r="XEI37" s="759"/>
      <c r="XEJ37" s="759"/>
      <c r="XEK37" s="759"/>
      <c r="XEL37" s="759"/>
      <c r="XEM37" s="759"/>
      <c r="XEN37" s="759"/>
      <c r="XEO37" s="759"/>
      <c r="XEP37" s="759"/>
      <c r="XEQ37" s="759"/>
      <c r="XER37" s="759"/>
      <c r="XES37" s="759"/>
      <c r="XET37" s="759"/>
      <c r="XEU37" s="759"/>
      <c r="XEV37" s="759"/>
      <c r="XEW37" s="759"/>
      <c r="XEX37" s="759"/>
      <c r="XEY37" s="759"/>
      <c r="XEZ37" s="759"/>
      <c r="XFA37" s="759"/>
      <c r="XFB37" s="759"/>
      <c r="XFC37" s="759"/>
    </row>
    <row r="38" spans="1:16383" s="759" customFormat="1">
      <c r="B38" s="808">
        <f t="shared" si="1"/>
        <v>16</v>
      </c>
      <c r="D38" s="766" t="s">
        <v>718</v>
      </c>
      <c r="E38" s="1026" t="str">
        <f>_xll.GenericSql("SELECT INSTRUMENT FROM FIN.BONDS_LIST WHERE ISIN='"&amp;D38&amp;"'",FALSE)</f>
        <v>BTP 01-nov-2029 5.25%</v>
      </c>
      <c r="F38" s="1026"/>
      <c r="G38" s="1026"/>
      <c r="H38" s="823">
        <f>IF(VLOOKUP($D38,Bonds!$E$11:$AM$347,26,FALSE)*100-$H$21&gt;0,VLOOKUP($D38,Bonds!$E$11:$AM$347,26,FALSE)*100-$H$21,$H$21-VLOOKUP($D38,Bonds!$E$11:$AM$347,26,FALSE)*100)</f>
        <v>0.10600759160925444</v>
      </c>
      <c r="J38" s="823">
        <f t="shared" si="0"/>
        <v>-1.1992408390745557E-2</v>
      </c>
      <c r="M38" s="790">
        <v>0.11799999999999999</v>
      </c>
      <c r="N38" s="791">
        <v>0.12</v>
      </c>
      <c r="O38" s="791">
        <v>0.11</v>
      </c>
      <c r="P38" s="791">
        <v>0.1094035310062802</v>
      </c>
      <c r="Q38" s="791">
        <v>0.10947694082218007</v>
      </c>
      <c r="R38" s="791">
        <v>0.10658135440249605</v>
      </c>
      <c r="S38" s="791">
        <v>0.10648881777371111</v>
      </c>
      <c r="T38" s="791">
        <v>0.10538256149633263</v>
      </c>
      <c r="U38" s="791">
        <v>0.10350073537384574</v>
      </c>
      <c r="V38" s="791">
        <v>0.10088975672988587</v>
      </c>
      <c r="W38" s="791">
        <v>0.1060763501567541</v>
      </c>
      <c r="X38" s="791"/>
      <c r="Y38" s="791"/>
      <c r="Z38" s="791"/>
      <c r="AA38" s="791"/>
      <c r="AB38" s="791"/>
      <c r="AC38" s="791"/>
      <c r="AD38" s="791"/>
      <c r="AE38" s="791"/>
      <c r="AF38" s="791"/>
      <c r="AG38" s="791"/>
      <c r="AH38" s="791"/>
      <c r="AI38" s="791"/>
      <c r="AJ38" s="791"/>
      <c r="AK38" s="791"/>
      <c r="AL38" s="791"/>
      <c r="AM38" s="791"/>
      <c r="AN38" s="791"/>
      <c r="AO38" s="791"/>
      <c r="AP38" s="792"/>
      <c r="AU38" s="761"/>
      <c r="AV38" s="761"/>
      <c r="AW38" s="761"/>
      <c r="AX38" s="761"/>
      <c r="AY38" s="761"/>
      <c r="AZ38" s="761"/>
      <c r="BA38" s="761"/>
      <c r="BB38" s="761"/>
      <c r="BC38" s="761"/>
      <c r="BD38" s="761"/>
      <c r="BE38" s="761"/>
      <c r="BF38" s="761"/>
      <c r="BG38" s="761"/>
      <c r="BH38" s="761"/>
      <c r="BI38" s="761"/>
      <c r="BJ38" s="761"/>
      <c r="BK38" s="761"/>
      <c r="BL38" s="761"/>
      <c r="BM38" s="761"/>
      <c r="BN38" s="761"/>
      <c r="BO38" s="761"/>
      <c r="BP38" s="761"/>
      <c r="BQ38" s="761"/>
      <c r="BR38" s="761"/>
      <c r="BS38" s="761"/>
      <c r="BT38" s="761"/>
      <c r="BU38" s="761"/>
      <c r="BV38" s="761"/>
      <c r="BW38" s="761"/>
      <c r="BX38" s="761"/>
      <c r="BY38" s="761"/>
      <c r="BZ38" s="761"/>
      <c r="CA38" s="761"/>
      <c r="CB38" s="761"/>
      <c r="CC38" s="761"/>
      <c r="CD38" s="761"/>
      <c r="CE38" s="761"/>
    </row>
    <row r="39" spans="1:16383" s="759" customFormat="1">
      <c r="B39" s="808">
        <f t="shared" si="1"/>
        <v>17</v>
      </c>
      <c r="D39" s="766" t="s">
        <v>425</v>
      </c>
      <c r="E39" s="1026" t="str">
        <f>_xll.GenericSql("SELECT INSTRUMENT FROM FIN.BONDS_LIST WHERE ISIN='"&amp;D39&amp;"'",FALSE)</f>
        <v>BTP 01-mar-30 3.5%</v>
      </c>
      <c r="F39" s="1026"/>
      <c r="G39" s="1026"/>
      <c r="H39" s="823">
        <f>IF(VLOOKUP($D39,Bonds!$E$11:$AM$347,26,FALSE)*100-$H$21&gt;0,VLOOKUP($D39,Bonds!$E$11:$AM$347,26,FALSE)*100-$H$21,$H$21-VLOOKUP($D39,Bonds!$E$11:$AM$347,26,FALSE)*100)</f>
        <v>0.20423298464408957</v>
      </c>
      <c r="J39" s="823">
        <f t="shared" si="0"/>
        <v>2.3298464408957886E-4</v>
      </c>
      <c r="M39" s="790">
        <v>0.20399999999999999</v>
      </c>
      <c r="N39" s="791">
        <v>0.21299999999999999</v>
      </c>
      <c r="O39" s="791">
        <v>0.21</v>
      </c>
      <c r="P39" s="791">
        <v>0.20203820735641509</v>
      </c>
      <c r="Q39" s="791">
        <v>0.20513296652602708</v>
      </c>
      <c r="R39" s="791">
        <v>0.20531352215740917</v>
      </c>
      <c r="S39" s="791">
        <v>0.20546094476727639</v>
      </c>
      <c r="T39" s="791">
        <v>0.20199425685787675</v>
      </c>
      <c r="U39" s="791">
        <v>0.19847034229541771</v>
      </c>
      <c r="V39" s="791">
        <v>0.19529354824200773</v>
      </c>
      <c r="W39" s="791">
        <v>0.19991042545585724</v>
      </c>
      <c r="X39" s="791"/>
      <c r="Y39" s="791"/>
      <c r="Z39" s="791"/>
      <c r="AA39" s="791"/>
      <c r="AB39" s="791"/>
      <c r="AC39" s="791"/>
      <c r="AD39" s="791"/>
      <c r="AE39" s="791"/>
      <c r="AF39" s="791"/>
      <c r="AG39" s="791"/>
      <c r="AH39" s="791"/>
      <c r="AI39" s="791"/>
      <c r="AJ39" s="791"/>
      <c r="AK39" s="791"/>
      <c r="AL39" s="791"/>
      <c r="AM39" s="791"/>
      <c r="AN39" s="791"/>
      <c r="AO39" s="791"/>
      <c r="AP39" s="792"/>
      <c r="AU39" s="761"/>
      <c r="AV39" s="761"/>
      <c r="AW39" s="761"/>
      <c r="AX39" s="761"/>
      <c r="AY39" s="761"/>
      <c r="AZ39" s="761"/>
      <c r="BA39" s="761"/>
      <c r="BB39" s="761"/>
      <c r="BC39" s="761"/>
      <c r="BD39" s="761"/>
      <c r="BE39" s="761"/>
      <c r="BF39" s="761"/>
      <c r="BG39" s="761"/>
      <c r="BH39" s="761"/>
      <c r="BI39" s="761"/>
      <c r="BJ39" s="761"/>
      <c r="BK39" s="761"/>
      <c r="BL39" s="761"/>
      <c r="BM39" s="761"/>
      <c r="BN39" s="761"/>
      <c r="BO39" s="761"/>
      <c r="BP39" s="761"/>
      <c r="BQ39" s="761"/>
      <c r="BR39" s="761"/>
      <c r="BS39" s="761"/>
      <c r="BT39" s="761"/>
      <c r="BU39" s="761"/>
      <c r="BV39" s="761"/>
      <c r="BW39" s="761"/>
      <c r="BX39" s="761"/>
      <c r="BY39" s="761"/>
      <c r="BZ39" s="761"/>
      <c r="CA39" s="761"/>
      <c r="CB39" s="761"/>
      <c r="CC39" s="761"/>
      <c r="CD39" s="761"/>
      <c r="CE39" s="761"/>
    </row>
    <row r="40" spans="1:16383" s="759" customFormat="1">
      <c r="B40" s="808">
        <f t="shared" si="1"/>
        <v>18</v>
      </c>
      <c r="D40" s="766" t="s">
        <v>719</v>
      </c>
      <c r="E40" s="1026" t="str">
        <f>_xll.GenericSql("SELECT INSTRUMENT FROM FIN.BONDS_LIST WHERE ISIN='"&amp;D40&amp;"'",FALSE)</f>
        <v>BTP 01-may-2031 6.00%</v>
      </c>
      <c r="F40" s="1026"/>
      <c r="G40" s="1026"/>
      <c r="H40" s="823">
        <f>IF(VLOOKUP($D40,Bonds!$E$11:$AM$347,26,FALSE)*100-$H$21&gt;0,VLOOKUP($D40,Bonds!$E$11:$AM$347,26,FALSE)*100-$H$21,$H$21-VLOOKUP($D40,Bonds!$E$11:$AM$347,26,FALSE)*100)</f>
        <v>0.25924053218367504</v>
      </c>
      <c r="J40" s="823">
        <f t="shared" si="0"/>
        <v>2.4053218367503515E-4</v>
      </c>
      <c r="M40" s="790">
        <v>0.25900000000000001</v>
      </c>
      <c r="N40" s="791">
        <v>0.26600000000000001</v>
      </c>
      <c r="O40" s="791">
        <v>0.25</v>
      </c>
      <c r="P40" s="791">
        <v>0.2377016205343061</v>
      </c>
      <c r="Q40" s="791">
        <v>0.24119473908558087</v>
      </c>
      <c r="R40" s="791">
        <v>0.23829980777370441</v>
      </c>
      <c r="S40" s="791">
        <v>0.24351227812687792</v>
      </c>
      <c r="T40" s="791">
        <v>0.2438072535083271</v>
      </c>
      <c r="U40" s="791">
        <v>0.24943496740059201</v>
      </c>
      <c r="V40" s="791">
        <v>0.24844930665146947</v>
      </c>
      <c r="W40" s="791">
        <v>0.25164048635628244</v>
      </c>
      <c r="X40" s="791"/>
      <c r="Y40" s="791"/>
      <c r="Z40" s="791"/>
      <c r="AA40" s="791"/>
      <c r="AB40" s="791"/>
      <c r="AC40" s="791"/>
      <c r="AD40" s="791"/>
      <c r="AE40" s="791"/>
      <c r="AF40" s="791"/>
      <c r="AG40" s="791"/>
      <c r="AH40" s="791"/>
      <c r="AI40" s="791"/>
      <c r="AJ40" s="791"/>
      <c r="AK40" s="791"/>
      <c r="AL40" s="791"/>
      <c r="AM40" s="791"/>
      <c r="AN40" s="791"/>
      <c r="AO40" s="791"/>
      <c r="AP40" s="792"/>
      <c r="AU40" s="761"/>
      <c r="AV40" s="761"/>
      <c r="AW40" s="761"/>
      <c r="AX40" s="761"/>
      <c r="AY40" s="761"/>
      <c r="AZ40" s="761"/>
      <c r="BA40" s="761"/>
      <c r="BB40" s="761"/>
      <c r="BC40" s="761"/>
      <c r="BD40" s="761"/>
      <c r="BE40" s="761"/>
      <c r="BF40" s="761"/>
      <c r="BG40" s="761"/>
      <c r="BH40" s="761"/>
      <c r="BI40" s="761"/>
      <c r="BJ40" s="761"/>
      <c r="BK40" s="761"/>
      <c r="BL40" s="761"/>
      <c r="BM40" s="761"/>
      <c r="BN40" s="761"/>
      <c r="BO40" s="761"/>
      <c r="BP40" s="761"/>
      <c r="BQ40" s="761"/>
      <c r="BR40" s="761"/>
      <c r="BS40" s="761"/>
      <c r="BT40" s="761"/>
      <c r="BU40" s="761"/>
      <c r="BV40" s="761"/>
      <c r="BW40" s="761"/>
      <c r="BX40" s="761"/>
      <c r="BY40" s="761"/>
      <c r="BZ40" s="761"/>
      <c r="CA40" s="761"/>
      <c r="CB40" s="761"/>
      <c r="CC40" s="761"/>
      <c r="CD40" s="761"/>
      <c r="CE40" s="761"/>
    </row>
    <row r="41" spans="1:16383" s="759" customFormat="1">
      <c r="B41" s="808">
        <f t="shared" si="1"/>
        <v>19</v>
      </c>
      <c r="D41" s="766" t="s">
        <v>824</v>
      </c>
      <c r="E41" s="1026" t="str">
        <f>_xll.GenericSql("SELECT INSTRUMENT FROM FIN.BONDS_LIST WHERE ISIN='"&amp;D41&amp;"'",FALSE)</f>
        <v>BTP 01-mar-32 1.65%</v>
      </c>
      <c r="F41" s="1026"/>
      <c r="G41" s="1026"/>
      <c r="H41" s="823">
        <f>IF(VLOOKUP($D41,Bonds!$E$11:$AM$347,26,FALSE)*100-$H$21&gt;0,VLOOKUP($D41,Bonds!$E$11:$AM$347,26,FALSE)*100-$H$21,$H$21-VLOOKUP($D41,Bonds!$E$11:$AM$347,26,FALSE)*100)</f>
        <v>0.29262916253641036</v>
      </c>
      <c r="J41" s="823">
        <f t="shared" si="0"/>
        <v>1.8629162536410337E-2</v>
      </c>
      <c r="M41" s="790">
        <v>0.27400000000000002</v>
      </c>
      <c r="N41" s="791">
        <v>0.28199999999999997</v>
      </c>
      <c r="O41" s="791">
        <v>0.27</v>
      </c>
      <c r="P41" s="791">
        <v>0.26161663446282279</v>
      </c>
      <c r="Q41" s="791">
        <v>0.27097459344810382</v>
      </c>
      <c r="R41" s="791">
        <v>0.26004203432630124</v>
      </c>
      <c r="S41" s="791">
        <v>0.27550355647297575</v>
      </c>
      <c r="T41" s="791">
        <v>0.28399883233729017</v>
      </c>
      <c r="U41" s="791">
        <v>0.29064291665578068</v>
      </c>
      <c r="V41" s="791">
        <v>0.29383376824528851</v>
      </c>
      <c r="W41" s="791">
        <v>0.28344257789816085</v>
      </c>
      <c r="X41" s="791"/>
      <c r="Y41" s="791"/>
      <c r="Z41" s="791"/>
      <c r="AA41" s="791"/>
      <c r="AB41" s="791"/>
      <c r="AC41" s="791"/>
      <c r="AD41" s="791"/>
      <c r="AE41" s="791"/>
      <c r="AF41" s="791"/>
      <c r="AG41" s="791"/>
      <c r="AH41" s="791"/>
      <c r="AI41" s="791"/>
      <c r="AJ41" s="791"/>
      <c r="AK41" s="791"/>
      <c r="AL41" s="791"/>
      <c r="AM41" s="791"/>
      <c r="AN41" s="791"/>
      <c r="AO41" s="791"/>
      <c r="AP41" s="792"/>
      <c r="AU41" s="761"/>
      <c r="AV41" s="761"/>
      <c r="AW41" s="761"/>
      <c r="AX41" s="761"/>
      <c r="AY41" s="761"/>
      <c r="AZ41" s="761"/>
      <c r="BA41" s="761"/>
      <c r="BB41" s="761"/>
      <c r="BC41" s="761"/>
      <c r="BD41" s="761"/>
      <c r="BE41" s="761"/>
      <c r="BF41" s="761"/>
      <c r="BG41" s="761"/>
      <c r="BH41" s="761"/>
      <c r="BI41" s="761"/>
      <c r="BJ41" s="761"/>
      <c r="BK41" s="761"/>
      <c r="BL41" s="761"/>
      <c r="BM41" s="761"/>
      <c r="BN41" s="761"/>
      <c r="BO41" s="761"/>
      <c r="BP41" s="761"/>
      <c r="BQ41" s="761"/>
      <c r="BR41" s="761"/>
      <c r="BS41" s="761"/>
      <c r="BT41" s="761"/>
      <c r="BU41" s="761"/>
      <c r="BV41" s="761"/>
      <c r="BW41" s="761"/>
      <c r="BX41" s="761"/>
      <c r="BY41" s="761"/>
      <c r="BZ41" s="761"/>
      <c r="CA41" s="761"/>
      <c r="CB41" s="761"/>
      <c r="CC41" s="761"/>
      <c r="CD41" s="761"/>
      <c r="CE41" s="761"/>
    </row>
    <row r="42" spans="1:16383" s="759" customFormat="1">
      <c r="B42" s="808">
        <f t="shared" si="1"/>
        <v>20</v>
      </c>
      <c r="D42" s="766" t="s">
        <v>720</v>
      </c>
      <c r="E42" s="1026" t="str">
        <f>_xll.GenericSql("SELECT INSTRUMENT FROM FIN.BONDS_LIST WHERE ISIN='"&amp;D42&amp;"'",FALSE)</f>
        <v>BTP 01-feb-33 5.75%</v>
      </c>
      <c r="F42" s="1026"/>
      <c r="G42" s="1026"/>
      <c r="H42" s="823">
        <f>IF(VLOOKUP($D42,Bonds!$E$11:$AM$347,26,FALSE)*100-$H$21&gt;0,VLOOKUP($D42,Bonds!$E$11:$AM$347,26,FALSE)*100-$H$21,$H$21-VLOOKUP($D42,Bonds!$E$11:$AM$347,26,FALSE)*100)</f>
        <v>0.40137917911246834</v>
      </c>
      <c r="J42" s="823">
        <f t="shared" si="0"/>
        <v>2.0379179112468337E-2</v>
      </c>
      <c r="M42" s="790">
        <v>0.38100000000000001</v>
      </c>
      <c r="N42" s="791">
        <v>0.38600000000000001</v>
      </c>
      <c r="O42" s="791">
        <v>0.37</v>
      </c>
      <c r="P42" s="791">
        <v>0.3687240723463634</v>
      </c>
      <c r="Q42" s="791">
        <v>0.37178233281452577</v>
      </c>
      <c r="R42" s="791">
        <v>0.3687456365034536</v>
      </c>
      <c r="S42" s="791">
        <v>0.38118957636388728</v>
      </c>
      <c r="T42" s="791">
        <v>0.38012437644749175</v>
      </c>
      <c r="U42" s="791">
        <v>0.38593883956799457</v>
      </c>
      <c r="V42" s="791">
        <v>0.39480705701818675</v>
      </c>
      <c r="W42" s="791">
        <v>0.39048700342624443</v>
      </c>
      <c r="X42" s="791"/>
      <c r="Y42" s="791"/>
      <c r="Z42" s="791"/>
      <c r="AA42" s="791"/>
      <c r="AB42" s="791"/>
      <c r="AC42" s="791"/>
      <c r="AD42" s="791"/>
      <c r="AE42" s="791"/>
      <c r="AF42" s="791"/>
      <c r="AG42" s="791"/>
      <c r="AH42" s="791"/>
      <c r="AI42" s="791"/>
      <c r="AJ42" s="791"/>
      <c r="AK42" s="791"/>
      <c r="AL42" s="791"/>
      <c r="AM42" s="791"/>
      <c r="AN42" s="791"/>
      <c r="AO42" s="791"/>
      <c r="AP42" s="792"/>
      <c r="AU42" s="761"/>
      <c r="AV42" s="761"/>
      <c r="AW42" s="761"/>
      <c r="AX42" s="761"/>
      <c r="AY42" s="761"/>
      <c r="AZ42" s="761"/>
      <c r="BA42" s="761"/>
      <c r="BB42" s="761"/>
      <c r="BC42" s="761"/>
      <c r="BD42" s="761"/>
      <c r="BE42" s="761"/>
      <c r="BF42" s="761"/>
      <c r="BG42" s="761"/>
      <c r="BH42" s="761"/>
      <c r="BI42" s="761"/>
      <c r="BJ42" s="761"/>
      <c r="BK42" s="761"/>
      <c r="BL42" s="761"/>
      <c r="BM42" s="761"/>
      <c r="BN42" s="761"/>
      <c r="BO42" s="761"/>
      <c r="BP42" s="761"/>
      <c r="BQ42" s="761"/>
      <c r="BR42" s="761"/>
      <c r="BS42" s="761"/>
      <c r="BT42" s="761"/>
      <c r="BU42" s="761"/>
      <c r="BV42" s="761"/>
      <c r="BW42" s="761"/>
      <c r="BX42" s="761"/>
      <c r="BY42" s="761"/>
      <c r="BZ42" s="761"/>
      <c r="CA42" s="761"/>
      <c r="CB42" s="761"/>
      <c r="CC42" s="761"/>
      <c r="CD42" s="761"/>
      <c r="CE42" s="761"/>
    </row>
    <row r="43" spans="1:16383" s="759" customFormat="1">
      <c r="B43" s="808">
        <f t="shared" si="1"/>
        <v>21</v>
      </c>
      <c r="D43" s="766" t="s">
        <v>945</v>
      </c>
      <c r="E43" s="1026" t="str">
        <f>_xll.GenericSql("SELECT INSTRUMENT FROM FIN.BONDS_LIST WHERE ISIN='"&amp;D43&amp;"'",FALSE)</f>
        <v>BTP 01-sep-33 2.45%</v>
      </c>
      <c r="F43" s="1026"/>
      <c r="G43" s="1026"/>
      <c r="H43" s="823">
        <f>IF(VLOOKUP($D43,Bonds!$E$11:$AM$347,26,FALSE)*100-$H$21&gt;0,VLOOKUP($D43,Bonds!$E$11:$AM$347,26,FALSE)*100-$H$21,$H$21-VLOOKUP($D43,Bonds!$E$11:$AM$347,26,FALSE)*100)</f>
        <v>0.43207081503874045</v>
      </c>
      <c r="J43" s="823">
        <f t="shared" si="0"/>
        <v>1.407081503874047E-2</v>
      </c>
      <c r="M43" s="790">
        <v>0.41799999999999998</v>
      </c>
      <c r="N43" s="791">
        <v>0.42</v>
      </c>
      <c r="O43" s="791">
        <v>0.41</v>
      </c>
      <c r="P43" s="791">
        <v>0.40525126983184334</v>
      </c>
      <c r="Q43" s="791">
        <v>0.40849393202311646</v>
      </c>
      <c r="R43" s="791">
        <v>0.40550986545213119</v>
      </c>
      <c r="S43" s="791">
        <v>0.41873954073702579</v>
      </c>
      <c r="T43" s="791">
        <v>0.41942968006991999</v>
      </c>
      <c r="U43" s="791">
        <v>0.43339563305467799</v>
      </c>
      <c r="V43" s="791">
        <v>0.43075599425333477</v>
      </c>
      <c r="W43" s="791">
        <v>0.42063017006938352</v>
      </c>
      <c r="X43" s="791"/>
      <c r="Y43" s="791"/>
      <c r="Z43" s="791"/>
      <c r="AA43" s="791"/>
      <c r="AB43" s="791"/>
      <c r="AC43" s="791"/>
      <c r="AD43" s="791"/>
      <c r="AE43" s="791"/>
      <c r="AF43" s="791"/>
      <c r="AG43" s="791"/>
      <c r="AH43" s="791"/>
      <c r="AI43" s="791"/>
      <c r="AJ43" s="791"/>
      <c r="AK43" s="791"/>
      <c r="AL43" s="791"/>
      <c r="AM43" s="791"/>
      <c r="AN43" s="791"/>
      <c r="AO43" s="791"/>
      <c r="AP43" s="792"/>
      <c r="AU43" s="761"/>
      <c r="AV43" s="761"/>
      <c r="AW43" s="761"/>
      <c r="AX43" s="761"/>
      <c r="AY43" s="761"/>
      <c r="AZ43" s="761"/>
      <c r="BA43" s="761"/>
      <c r="BB43" s="761"/>
      <c r="BC43" s="761"/>
      <c r="BD43" s="761"/>
      <c r="BE43" s="761"/>
      <c r="BF43" s="761"/>
      <c r="BG43" s="761"/>
      <c r="BH43" s="761"/>
      <c r="BI43" s="761"/>
      <c r="BJ43" s="761"/>
      <c r="BK43" s="761"/>
      <c r="BL43" s="761"/>
      <c r="BM43" s="761"/>
      <c r="BN43" s="761"/>
      <c r="BO43" s="761"/>
      <c r="BP43" s="761"/>
      <c r="BQ43" s="761"/>
      <c r="BR43" s="761"/>
      <c r="BS43" s="761"/>
      <c r="BT43" s="761"/>
      <c r="BU43" s="761"/>
      <c r="BV43" s="761"/>
      <c r="BW43" s="761"/>
      <c r="BX43" s="761"/>
      <c r="BY43" s="761"/>
      <c r="BZ43" s="761"/>
      <c r="CA43" s="761"/>
      <c r="CB43" s="761"/>
      <c r="CC43" s="761"/>
      <c r="CD43" s="761"/>
      <c r="CE43" s="761"/>
    </row>
    <row r="44" spans="1:16383" s="759" customFormat="1">
      <c r="B44" s="808">
        <f t="shared" si="1"/>
        <v>22</v>
      </c>
      <c r="D44" s="766" t="s">
        <v>721</v>
      </c>
      <c r="E44" s="1026" t="str">
        <f>_xll.GenericSql("SELECT INSTRUMENT FROM FIN.BONDS_LIST WHERE ISIN='"&amp;D44&amp;"'",FALSE)</f>
        <v>BTP 01-aug-34 5%</v>
      </c>
      <c r="F44" s="1026"/>
      <c r="G44" s="1026"/>
      <c r="H44" s="823">
        <f>IF(VLOOKUP($D44,Bonds!$E$11:$AM$347,26,FALSE)*100-$H$21&gt;0,VLOOKUP($D44,Bonds!$E$11:$AM$347,26,FALSE)*100-$H$21,$H$21-VLOOKUP($D44,Bonds!$E$11:$AM$347,26,FALSE)*100)</f>
        <v>0.46709301252707158</v>
      </c>
      <c r="J44" s="823">
        <f t="shared" si="0"/>
        <v>2.1093012527071575E-2</v>
      </c>
      <c r="M44" s="790">
        <v>0.44600000000000001</v>
      </c>
      <c r="N44" s="791">
        <v>0.45400000000000001</v>
      </c>
      <c r="O44" s="791">
        <v>0.45</v>
      </c>
      <c r="P44" s="791">
        <v>0.43883614202602494</v>
      </c>
      <c r="Q44" s="791">
        <v>0.44139868397629911</v>
      </c>
      <c r="R44" s="791">
        <v>0.43293632374584634</v>
      </c>
      <c r="S44" s="791">
        <v>0.44465815705357148</v>
      </c>
      <c r="T44" s="791">
        <v>0.44489280851654156</v>
      </c>
      <c r="U44" s="791">
        <v>0.45297648153443593</v>
      </c>
      <c r="V44" s="791">
        <v>0.46303160778948627</v>
      </c>
      <c r="W44" s="791">
        <v>0.45961699244698373</v>
      </c>
      <c r="X44" s="791"/>
      <c r="Y44" s="791"/>
      <c r="Z44" s="791"/>
      <c r="AA44" s="791"/>
      <c r="AB44" s="791"/>
      <c r="AC44" s="791"/>
      <c r="AD44" s="791"/>
      <c r="AE44" s="791"/>
      <c r="AF44" s="791"/>
      <c r="AG44" s="791"/>
      <c r="AH44" s="791"/>
      <c r="AI44" s="791"/>
      <c r="AJ44" s="791"/>
      <c r="AK44" s="791"/>
      <c r="AL44" s="791"/>
      <c r="AM44" s="791"/>
      <c r="AN44" s="791"/>
      <c r="AO44" s="791"/>
      <c r="AP44" s="792"/>
      <c r="AU44" s="761"/>
      <c r="AV44" s="761"/>
      <c r="AW44" s="761"/>
      <c r="AX44" s="761"/>
      <c r="AY44" s="761"/>
      <c r="AZ44" s="761"/>
      <c r="BA44" s="761"/>
      <c r="BB44" s="761"/>
      <c r="BC44" s="761"/>
      <c r="BD44" s="761"/>
      <c r="BE44" s="761"/>
      <c r="BF44" s="761"/>
      <c r="BG44" s="761"/>
      <c r="BH44" s="761"/>
      <c r="BI44" s="761"/>
      <c r="BJ44" s="761"/>
      <c r="BK44" s="761"/>
      <c r="BL44" s="761"/>
      <c r="BM44" s="761"/>
      <c r="BN44" s="761"/>
      <c r="BO44" s="761"/>
      <c r="BP44" s="761"/>
      <c r="BQ44" s="761"/>
      <c r="BR44" s="761"/>
      <c r="BS44" s="761"/>
      <c r="BT44" s="761"/>
      <c r="BU44" s="761"/>
      <c r="BV44" s="761"/>
      <c r="BW44" s="761"/>
      <c r="BX44" s="761"/>
      <c r="BY44" s="761"/>
      <c r="BZ44" s="761"/>
      <c r="CA44" s="761"/>
      <c r="CB44" s="761"/>
      <c r="CC44" s="761"/>
      <c r="CD44" s="761"/>
      <c r="CE44" s="761"/>
    </row>
    <row r="45" spans="1:16383" s="759" customFormat="1">
      <c r="B45" s="808">
        <f t="shared" si="1"/>
        <v>23</v>
      </c>
      <c r="D45" s="766" t="s">
        <v>868</v>
      </c>
      <c r="E45" s="1026" t="str">
        <f>_xll.GenericSql("SELECT INSTRUMENT FROM FIN.BONDS_LIST WHERE ISIN='"&amp;D45&amp;"'",FALSE)</f>
        <v>BTP 01-sep-36 2.25%</v>
      </c>
      <c r="F45" s="1026"/>
      <c r="G45" s="1026"/>
      <c r="H45" s="823">
        <f>IF(VLOOKUP($D45,Bonds!$E$11:$AM$347,26,FALSE)*100-$H$21&gt;0,VLOOKUP($D45,Bonds!$E$11:$AM$347,26,FALSE)*100-$H$21,$H$21-VLOOKUP($D45,Bonds!$E$11:$AM$347,26,FALSE)*100)</f>
        <v>0.5682100978402298</v>
      </c>
      <c r="J45" s="823">
        <f t="shared" si="0"/>
        <v>3.421009784022977E-2</v>
      </c>
      <c r="M45" s="790">
        <v>0.53400000000000003</v>
      </c>
      <c r="N45" s="791">
        <v>0.54</v>
      </c>
      <c r="O45" s="791">
        <v>0.53</v>
      </c>
      <c r="P45" s="791">
        <v>0.52837417671250986</v>
      </c>
      <c r="Q45" s="791">
        <v>0.53756131406227237</v>
      </c>
      <c r="R45" s="791">
        <v>0.53172132457020238</v>
      </c>
      <c r="S45" s="791">
        <v>0.54223487691374173</v>
      </c>
      <c r="T45" s="791">
        <v>0.54165081032773843</v>
      </c>
      <c r="U45" s="791">
        <v>0.54696328266972793</v>
      </c>
      <c r="V45" s="791">
        <v>0.55970824389296725</v>
      </c>
      <c r="W45" s="791">
        <v>0.56020186572996211</v>
      </c>
      <c r="X45" s="791"/>
      <c r="Y45" s="791"/>
      <c r="Z45" s="791"/>
      <c r="AA45" s="791"/>
      <c r="AB45" s="791"/>
      <c r="AC45" s="791"/>
      <c r="AD45" s="791"/>
      <c r="AE45" s="791"/>
      <c r="AF45" s="791"/>
      <c r="AG45" s="791"/>
      <c r="AH45" s="791"/>
      <c r="AI45" s="791"/>
      <c r="AJ45" s="791"/>
      <c r="AK45" s="791"/>
      <c r="AL45" s="791"/>
      <c r="AM45" s="791"/>
      <c r="AN45" s="791"/>
      <c r="AO45" s="791"/>
      <c r="AP45" s="792"/>
      <c r="AU45" s="761"/>
      <c r="AV45" s="761"/>
      <c r="AW45" s="761"/>
      <c r="AX45" s="761"/>
      <c r="AY45" s="761"/>
      <c r="AZ45" s="761"/>
      <c r="BA45" s="761"/>
      <c r="BB45" s="761"/>
      <c r="BC45" s="761"/>
      <c r="BD45" s="761"/>
      <c r="BE45" s="761"/>
      <c r="BF45" s="761"/>
      <c r="BG45" s="761"/>
      <c r="BH45" s="761"/>
      <c r="BI45" s="761"/>
      <c r="BJ45" s="761"/>
      <c r="BK45" s="761"/>
      <c r="BL45" s="761"/>
      <c r="BM45" s="761"/>
      <c r="BN45" s="761"/>
      <c r="BO45" s="761"/>
      <c r="BP45" s="761"/>
      <c r="BQ45" s="761"/>
      <c r="BR45" s="761"/>
      <c r="BS45" s="761"/>
      <c r="BT45" s="761"/>
      <c r="BU45" s="761"/>
      <c r="BV45" s="761"/>
      <c r="BW45" s="761"/>
      <c r="BX45" s="761"/>
      <c r="BY45" s="761"/>
      <c r="BZ45" s="761"/>
      <c r="CA45" s="761"/>
      <c r="CB45" s="761"/>
      <c r="CC45" s="761"/>
      <c r="CD45" s="761"/>
      <c r="CE45" s="761"/>
    </row>
    <row r="46" spans="1:16383" s="759" customFormat="1">
      <c r="B46" s="808">
        <f t="shared" si="1"/>
        <v>24</v>
      </c>
      <c r="D46" s="766" t="s">
        <v>722</v>
      </c>
      <c r="E46" s="1026" t="str">
        <f>_xll.GenericSql("SELECT INSTRUMENT FROM FIN.BONDS_LIST WHERE ISIN='"&amp;D46&amp;"'",FALSE)</f>
        <v>BTP 01-feb-37 4%</v>
      </c>
      <c r="F46" s="1026"/>
      <c r="G46" s="1026"/>
      <c r="H46" s="823">
        <f>IF(VLOOKUP($D46,Bonds!$E$11:$AM$347,26,FALSE)*100-$H$21&gt;0,VLOOKUP($D46,Bonds!$E$11:$AM$347,26,FALSE)*100-$H$21,$H$21-VLOOKUP($D46,Bonds!$E$11:$AM$347,26,FALSE)*100)</f>
        <v>0.59546208830561786</v>
      </c>
      <c r="J46" s="823">
        <f t="shared" si="0"/>
        <v>3.7462088305617813E-2</v>
      </c>
      <c r="M46" s="790">
        <v>0.55800000000000005</v>
      </c>
      <c r="N46" s="791">
        <v>0.56999999999999995</v>
      </c>
      <c r="O46" s="791">
        <v>0.56000000000000005</v>
      </c>
      <c r="P46" s="791">
        <v>0.55033411008520217</v>
      </c>
      <c r="Q46" s="791">
        <v>0.56134389992165534</v>
      </c>
      <c r="R46" s="791">
        <v>0.55393000442164064</v>
      </c>
      <c r="S46" s="791">
        <v>0.56315670117387429</v>
      </c>
      <c r="T46" s="791">
        <v>0.56405808077043806</v>
      </c>
      <c r="U46" s="791">
        <v>0.57049985516596369</v>
      </c>
      <c r="V46" s="791">
        <v>0.58472824891204489</v>
      </c>
      <c r="W46" s="791">
        <v>0.58691057112255152</v>
      </c>
      <c r="X46" s="791"/>
      <c r="Y46" s="791"/>
      <c r="Z46" s="791"/>
      <c r="AA46" s="791"/>
      <c r="AB46" s="791"/>
      <c r="AC46" s="791"/>
      <c r="AD46" s="791"/>
      <c r="AE46" s="791"/>
      <c r="AF46" s="791"/>
      <c r="AG46" s="791"/>
      <c r="AH46" s="791"/>
      <c r="AI46" s="791"/>
      <c r="AJ46" s="791"/>
      <c r="AK46" s="791"/>
      <c r="AL46" s="791"/>
      <c r="AM46" s="791"/>
      <c r="AN46" s="791"/>
      <c r="AO46" s="791"/>
      <c r="AP46" s="792"/>
      <c r="AU46" s="761"/>
      <c r="AV46" s="761"/>
      <c r="AW46" s="761"/>
      <c r="AX46" s="761"/>
      <c r="AY46" s="761"/>
      <c r="AZ46" s="761"/>
      <c r="BA46" s="761"/>
      <c r="BB46" s="761"/>
      <c r="BC46" s="761"/>
      <c r="BD46" s="761"/>
      <c r="BE46" s="761"/>
      <c r="BF46" s="761"/>
      <c r="BG46" s="761"/>
      <c r="BH46" s="761"/>
      <c r="BI46" s="761"/>
      <c r="BJ46" s="761"/>
      <c r="BK46" s="761"/>
      <c r="BL46" s="761"/>
      <c r="BM46" s="761"/>
      <c r="BN46" s="761"/>
      <c r="BO46" s="761"/>
      <c r="BP46" s="761"/>
      <c r="BQ46" s="761"/>
      <c r="BR46" s="761"/>
      <c r="BS46" s="761"/>
      <c r="BT46" s="761"/>
      <c r="BU46" s="761"/>
      <c r="BV46" s="761"/>
      <c r="BW46" s="761"/>
      <c r="BX46" s="761"/>
      <c r="BY46" s="761"/>
      <c r="BZ46" s="761"/>
      <c r="CA46" s="761"/>
      <c r="CB46" s="761"/>
      <c r="CC46" s="761"/>
      <c r="CD46" s="761"/>
      <c r="CE46" s="761"/>
    </row>
    <row r="47" spans="1:16383" s="759" customFormat="1" ht="12.75" customHeight="1" thickBot="1">
      <c r="B47" s="808">
        <f t="shared" si="1"/>
        <v>25</v>
      </c>
      <c r="D47" s="766" t="s">
        <v>1704</v>
      </c>
      <c r="E47" s="1026" t="str">
        <f>_xll.GenericSql("SELECT INSTRUMENT FROM FIN.BONDS_LIST WHERE ISIN='"&amp;D47&amp;"'",FALSE)</f>
        <v>BTP 01-sep-38 2.95%</v>
      </c>
      <c r="F47" s="1026"/>
      <c r="G47" s="1026"/>
      <c r="H47" s="825">
        <f>IF(VLOOKUP($D47,Bonds!$E$11:$AM$347,26,FALSE)*100-$H$21&gt;0,VLOOKUP($D47,Bonds!$E$11:$AM$347,26,FALSE)*100-$H$21,$H$21-VLOOKUP($D47,Bonds!$E$11:$AM$347,26,FALSE)*100)</f>
        <v>0.71655361922727412</v>
      </c>
      <c r="J47" s="825">
        <f t="shared" si="0"/>
        <v>2.7553619227274173E-2</v>
      </c>
      <c r="M47" s="793">
        <v>0.68899999999999995</v>
      </c>
      <c r="N47" s="794">
        <v>0.69599999999999995</v>
      </c>
      <c r="O47" s="794">
        <v>0.69</v>
      </c>
      <c r="P47" s="794">
        <v>0.68657077399207145</v>
      </c>
      <c r="Q47" s="794">
        <v>0.68675442585000468</v>
      </c>
      <c r="R47" s="794">
        <v>0.6752481070357117</v>
      </c>
      <c r="S47" s="794">
        <v>0.68922854886180707</v>
      </c>
      <c r="T47" s="794">
        <v>0.68773840313186207</v>
      </c>
      <c r="U47" s="794">
        <v>0.69265133489723585</v>
      </c>
      <c r="V47" s="794">
        <v>0.70937567585891559</v>
      </c>
      <c r="W47" s="794">
        <v>0.71207827991785999</v>
      </c>
      <c r="X47" s="794"/>
      <c r="Y47" s="794"/>
      <c r="Z47" s="794"/>
      <c r="AA47" s="794"/>
      <c r="AB47" s="794"/>
      <c r="AC47" s="794"/>
      <c r="AD47" s="794"/>
      <c r="AE47" s="794"/>
      <c r="AF47" s="794"/>
      <c r="AG47" s="794"/>
      <c r="AH47" s="794"/>
      <c r="AI47" s="794"/>
      <c r="AJ47" s="794"/>
      <c r="AK47" s="794"/>
      <c r="AL47" s="794"/>
      <c r="AM47" s="794"/>
      <c r="AN47" s="794"/>
      <c r="AO47" s="794"/>
      <c r="AP47" s="795"/>
      <c r="AU47" s="761"/>
      <c r="AV47" s="761"/>
      <c r="AW47" s="761"/>
      <c r="AX47" s="761"/>
      <c r="AY47" s="761"/>
      <c r="AZ47" s="761"/>
      <c r="BA47" s="761"/>
      <c r="BB47" s="761"/>
      <c r="BC47" s="761"/>
      <c r="BD47" s="761"/>
      <c r="BE47" s="761"/>
      <c r="BF47" s="761"/>
      <c r="BG47" s="761"/>
      <c r="BH47" s="761"/>
      <c r="BI47" s="761"/>
      <c r="BJ47" s="761"/>
      <c r="BK47" s="761"/>
      <c r="BL47" s="761"/>
      <c r="BM47" s="761"/>
      <c r="BN47" s="761"/>
      <c r="BO47" s="761"/>
      <c r="BP47" s="761"/>
      <c r="BQ47" s="761"/>
      <c r="BR47" s="761"/>
      <c r="BS47" s="761"/>
      <c r="BT47" s="761"/>
      <c r="BU47" s="761"/>
      <c r="BV47" s="761"/>
      <c r="BW47" s="761"/>
      <c r="BX47" s="761"/>
      <c r="BY47" s="761"/>
      <c r="BZ47" s="761"/>
      <c r="CA47" s="761"/>
      <c r="CB47" s="761"/>
      <c r="CC47" s="761"/>
      <c r="CD47" s="761"/>
      <c r="CE47" s="761"/>
    </row>
    <row r="48" spans="1:16383" s="759" customFormat="1">
      <c r="C48" s="760"/>
      <c r="D48" s="762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  <c r="P48" s="761"/>
      <c r="Q48" s="761"/>
      <c r="R48" s="769"/>
      <c r="S48" s="769"/>
      <c r="T48" s="769"/>
      <c r="U48" s="769"/>
      <c r="V48" s="769"/>
      <c r="W48" s="769"/>
      <c r="X48" s="769"/>
      <c r="Y48" s="769"/>
      <c r="Z48" s="769"/>
      <c r="AA48" s="769"/>
      <c r="AB48" s="769"/>
      <c r="AC48" s="769"/>
      <c r="AD48" s="769"/>
      <c r="AE48" s="769"/>
      <c r="AF48" s="769"/>
      <c r="AG48" s="769"/>
      <c r="AH48" s="769"/>
      <c r="AI48" s="782"/>
      <c r="AJ48" s="769"/>
      <c r="AK48" s="769"/>
      <c r="AL48" s="769"/>
      <c r="AM48" s="769"/>
      <c r="AN48" s="769"/>
      <c r="AO48" s="769"/>
      <c r="AP48" s="769"/>
      <c r="AQ48" s="769"/>
      <c r="AR48" s="769"/>
      <c r="AS48" s="769"/>
      <c r="AT48" s="769"/>
      <c r="AU48" s="761"/>
      <c r="AV48" s="761"/>
      <c r="AW48" s="761"/>
      <c r="AX48" s="761"/>
      <c r="AY48" s="761"/>
      <c r="AZ48" s="761"/>
      <c r="BA48" s="761"/>
      <c r="BB48" s="761"/>
      <c r="BC48" s="761"/>
      <c r="BD48" s="761"/>
      <c r="BE48" s="761"/>
      <c r="BF48" s="761"/>
      <c r="BG48" s="761"/>
      <c r="BH48" s="761"/>
      <c r="BI48" s="761"/>
      <c r="BJ48" s="761"/>
      <c r="BK48" s="761"/>
      <c r="BL48" s="761"/>
      <c r="BM48" s="761"/>
      <c r="BN48" s="761"/>
      <c r="BO48" s="761"/>
      <c r="BP48" s="761"/>
      <c r="BQ48" s="761"/>
      <c r="BR48" s="761"/>
      <c r="BS48" s="761"/>
      <c r="BT48" s="761"/>
      <c r="BU48" s="761"/>
      <c r="BV48" s="761"/>
      <c r="BW48" s="761"/>
      <c r="BX48" s="761"/>
      <c r="BY48" s="761"/>
      <c r="BZ48" s="761"/>
      <c r="CA48" s="761"/>
      <c r="CB48" s="761"/>
      <c r="CC48" s="761"/>
      <c r="CD48" s="761"/>
      <c r="CE48" s="761"/>
    </row>
    <row r="49" spans="3:83" s="759" customFormat="1">
      <c r="C49" s="760"/>
      <c r="D49" s="804"/>
      <c r="E49" s="804"/>
      <c r="F49" s="804"/>
      <c r="G49" s="804"/>
      <c r="H49" s="761"/>
      <c r="I49" s="761"/>
      <c r="J49" s="761"/>
      <c r="K49" s="761"/>
      <c r="L49" s="761"/>
      <c r="M49" s="761"/>
      <c r="N49" s="761"/>
      <c r="O49" s="761"/>
      <c r="P49" s="761"/>
      <c r="Q49" s="761"/>
      <c r="R49" s="769"/>
      <c r="S49" s="769"/>
      <c r="T49" s="769"/>
      <c r="U49" s="769"/>
      <c r="V49" s="769"/>
      <c r="W49" s="769"/>
      <c r="X49" s="769"/>
      <c r="Y49" s="769"/>
      <c r="Z49" s="769"/>
      <c r="AA49" s="769"/>
      <c r="AB49" s="769"/>
      <c r="AC49" s="769"/>
      <c r="AD49" s="769"/>
      <c r="AE49" s="769"/>
      <c r="AF49" s="769"/>
      <c r="AG49" s="769"/>
      <c r="AH49" s="769"/>
      <c r="AI49" s="769"/>
      <c r="AJ49" s="782"/>
      <c r="AK49" s="769"/>
      <c r="AL49" s="769"/>
      <c r="AM49" s="769"/>
      <c r="AN49" s="769"/>
      <c r="AO49" s="769"/>
      <c r="AP49" s="769"/>
      <c r="AQ49" s="769"/>
      <c r="AR49" s="769"/>
      <c r="AS49" s="769"/>
      <c r="AT49" s="769"/>
      <c r="AU49" s="761"/>
      <c r="AV49" s="761"/>
      <c r="AW49" s="761"/>
      <c r="AX49" s="761"/>
      <c r="AY49" s="761"/>
      <c r="AZ49" s="761"/>
      <c r="BA49" s="761"/>
      <c r="BB49" s="761"/>
      <c r="BC49" s="761"/>
      <c r="BD49" s="761"/>
      <c r="BE49" s="761"/>
      <c r="BF49" s="761"/>
      <c r="BG49" s="761"/>
      <c r="BH49" s="761"/>
      <c r="BI49" s="761"/>
      <c r="BJ49" s="761"/>
      <c r="BK49" s="761"/>
      <c r="BL49" s="761"/>
      <c r="BM49" s="761"/>
      <c r="BN49" s="761"/>
      <c r="BO49" s="761"/>
      <c r="BP49" s="761"/>
      <c r="BQ49" s="761"/>
      <c r="BR49" s="761"/>
      <c r="BS49" s="761"/>
      <c r="BT49" s="761"/>
      <c r="BU49" s="761"/>
      <c r="BV49" s="761"/>
      <c r="BW49" s="761"/>
      <c r="BX49" s="761"/>
      <c r="BY49" s="761"/>
      <c r="BZ49" s="761"/>
      <c r="CA49" s="761"/>
      <c r="CB49" s="761"/>
      <c r="CC49" s="761"/>
      <c r="CD49" s="761"/>
      <c r="CE49" s="761"/>
    </row>
    <row r="50" spans="3:83" s="759" customFormat="1">
      <c r="C50" s="760"/>
      <c r="D50" s="768"/>
      <c r="E50" s="768"/>
      <c r="F50" s="768"/>
      <c r="G50" s="768"/>
      <c r="H50" s="775"/>
      <c r="I50" s="761"/>
      <c r="J50" s="761"/>
      <c r="K50" s="761"/>
      <c r="L50" s="761"/>
      <c r="M50" s="761"/>
      <c r="N50" s="761"/>
      <c r="O50" s="761"/>
      <c r="P50" s="761"/>
      <c r="Q50" s="761"/>
      <c r="R50" s="769"/>
      <c r="S50" s="769"/>
      <c r="T50" s="769"/>
      <c r="U50" s="769"/>
      <c r="V50" s="769"/>
      <c r="W50" s="769"/>
      <c r="X50" s="769"/>
      <c r="Y50" s="769"/>
      <c r="Z50" s="769"/>
      <c r="AA50" s="769"/>
      <c r="AB50" s="769"/>
      <c r="AC50" s="769"/>
      <c r="AD50" s="769"/>
      <c r="AE50" s="769"/>
      <c r="AF50" s="769"/>
      <c r="AG50" s="769"/>
      <c r="AH50" s="769"/>
      <c r="AI50" s="769"/>
      <c r="AJ50" s="769"/>
      <c r="AK50" s="782"/>
      <c r="AL50" s="769"/>
      <c r="AM50" s="769"/>
      <c r="AN50" s="769"/>
      <c r="AO50" s="769"/>
      <c r="AP50" s="769"/>
      <c r="AQ50" s="769"/>
      <c r="AR50" s="769"/>
      <c r="AS50" s="769"/>
      <c r="AT50" s="769"/>
      <c r="AU50" s="761"/>
      <c r="AV50" s="761"/>
      <c r="AW50" s="761"/>
      <c r="AX50" s="761"/>
      <c r="AY50" s="761"/>
      <c r="AZ50" s="761"/>
      <c r="BA50" s="761"/>
      <c r="BB50" s="761"/>
      <c r="BC50" s="761"/>
      <c r="BD50" s="761"/>
      <c r="BE50" s="761"/>
      <c r="BF50" s="761"/>
      <c r="BG50" s="761"/>
      <c r="BH50" s="761"/>
      <c r="BI50" s="761"/>
      <c r="BJ50" s="761"/>
      <c r="BK50" s="761"/>
      <c r="BL50" s="761"/>
      <c r="BM50" s="761"/>
      <c r="BN50" s="761"/>
      <c r="BO50" s="761"/>
      <c r="BP50" s="761"/>
      <c r="BQ50" s="761"/>
      <c r="BR50" s="761"/>
      <c r="BS50" s="761"/>
      <c r="BT50" s="761"/>
      <c r="BU50" s="761"/>
      <c r="BV50" s="761"/>
      <c r="BW50" s="761"/>
      <c r="BX50" s="761"/>
      <c r="BY50" s="761"/>
      <c r="BZ50" s="761"/>
      <c r="CA50" s="761"/>
      <c r="CB50" s="761"/>
      <c r="CC50" s="761"/>
      <c r="CD50" s="761"/>
      <c r="CE50" s="761"/>
    </row>
    <row r="51" spans="3:83" s="759" customFormat="1">
      <c r="C51" s="760"/>
      <c r="D51" s="804"/>
      <c r="E51" s="804"/>
      <c r="F51" s="804"/>
      <c r="G51" s="804"/>
      <c r="H51" s="761"/>
      <c r="I51" s="761"/>
      <c r="J51" s="761"/>
      <c r="K51" s="761"/>
      <c r="L51" s="761"/>
      <c r="M51" s="761"/>
      <c r="N51" s="761"/>
      <c r="O51" s="761"/>
      <c r="P51" s="761"/>
      <c r="Q51" s="761"/>
      <c r="R51" s="769"/>
      <c r="S51" s="769"/>
      <c r="T51" s="769"/>
      <c r="U51" s="769"/>
      <c r="V51" s="769"/>
      <c r="W51" s="769"/>
      <c r="X51" s="769"/>
      <c r="Y51" s="769"/>
      <c r="Z51" s="769"/>
      <c r="AA51" s="769"/>
      <c r="AB51" s="769"/>
      <c r="AC51" s="769"/>
      <c r="AD51" s="769"/>
      <c r="AE51" s="769"/>
      <c r="AF51" s="769"/>
      <c r="AG51" s="769"/>
      <c r="AH51" s="769"/>
      <c r="AI51" s="769"/>
      <c r="AJ51" s="769"/>
      <c r="AK51" s="769"/>
      <c r="AL51" s="782"/>
      <c r="AM51" s="769"/>
      <c r="AN51" s="769"/>
      <c r="AO51" s="769"/>
      <c r="AP51" s="769"/>
      <c r="AQ51" s="769"/>
      <c r="AR51" s="769"/>
      <c r="AS51" s="769"/>
      <c r="AT51" s="769"/>
      <c r="AU51" s="761"/>
      <c r="AV51" s="761"/>
      <c r="AW51" s="761"/>
      <c r="AX51" s="761"/>
      <c r="AY51" s="761"/>
      <c r="AZ51" s="761"/>
      <c r="BA51" s="761"/>
      <c r="BB51" s="761"/>
      <c r="BC51" s="761"/>
      <c r="BD51" s="761"/>
      <c r="BE51" s="761"/>
      <c r="BF51" s="761"/>
      <c r="BG51" s="761"/>
      <c r="BH51" s="761"/>
      <c r="BI51" s="761"/>
      <c r="BJ51" s="761"/>
      <c r="BK51" s="761"/>
      <c r="BL51" s="761"/>
      <c r="BM51" s="761"/>
      <c r="BN51" s="761"/>
      <c r="BO51" s="761"/>
      <c r="BP51" s="761"/>
      <c r="BQ51" s="761"/>
      <c r="BR51" s="761"/>
      <c r="BS51" s="761"/>
      <c r="BT51" s="761"/>
      <c r="BU51" s="761"/>
      <c r="BV51" s="761"/>
      <c r="BW51" s="761"/>
      <c r="BX51" s="761"/>
      <c r="BY51" s="761"/>
      <c r="BZ51" s="761"/>
      <c r="CA51" s="761"/>
      <c r="CB51" s="761"/>
      <c r="CC51" s="761"/>
      <c r="CD51" s="761"/>
      <c r="CE51" s="761"/>
    </row>
    <row r="52" spans="3:83" s="759" customFormat="1">
      <c r="C52" s="760"/>
      <c r="H52" s="761"/>
      <c r="I52" s="761"/>
      <c r="J52" s="761"/>
      <c r="K52" s="761"/>
      <c r="L52" s="761"/>
      <c r="M52" s="761"/>
      <c r="N52" s="761"/>
      <c r="O52" s="761"/>
      <c r="P52" s="761"/>
      <c r="Q52" s="761"/>
      <c r="R52" s="769"/>
      <c r="S52" s="769"/>
      <c r="T52" s="769"/>
      <c r="U52" s="769"/>
      <c r="V52" s="769"/>
      <c r="W52" s="769"/>
      <c r="X52" s="769"/>
      <c r="Y52" s="769"/>
      <c r="Z52" s="769"/>
      <c r="AA52" s="769"/>
      <c r="AB52" s="769"/>
      <c r="AC52" s="769"/>
      <c r="AD52" s="769"/>
      <c r="AE52" s="769"/>
      <c r="AF52" s="769"/>
      <c r="AG52" s="769"/>
      <c r="AH52" s="769"/>
      <c r="AI52" s="769"/>
      <c r="AJ52" s="769"/>
      <c r="AK52" s="769"/>
      <c r="AL52" s="769"/>
      <c r="AM52" s="782"/>
      <c r="AN52" s="769"/>
      <c r="AO52" s="769"/>
      <c r="AP52" s="769"/>
      <c r="AQ52" s="769"/>
      <c r="AR52" s="769"/>
      <c r="AS52" s="769"/>
      <c r="AT52" s="769"/>
      <c r="AU52" s="761"/>
      <c r="AV52" s="761"/>
      <c r="AW52" s="761"/>
      <c r="AX52" s="761"/>
      <c r="AY52" s="761"/>
      <c r="AZ52" s="761"/>
      <c r="BA52" s="761"/>
      <c r="BB52" s="761"/>
      <c r="BC52" s="761"/>
      <c r="BD52" s="761"/>
      <c r="BE52" s="761"/>
      <c r="BF52" s="761"/>
      <c r="BG52" s="761"/>
      <c r="BH52" s="761"/>
      <c r="BI52" s="761"/>
      <c r="BJ52" s="761"/>
      <c r="BK52" s="761"/>
      <c r="BL52" s="761"/>
      <c r="BM52" s="761"/>
      <c r="BN52" s="761"/>
      <c r="BO52" s="761"/>
      <c r="BP52" s="761"/>
      <c r="BQ52" s="761"/>
      <c r="BR52" s="761"/>
      <c r="BS52" s="761"/>
      <c r="BT52" s="761"/>
      <c r="BU52" s="761"/>
      <c r="BV52" s="761"/>
      <c r="BW52" s="761"/>
      <c r="BX52" s="761"/>
      <c r="BY52" s="761"/>
      <c r="BZ52" s="761"/>
      <c r="CA52" s="761"/>
      <c r="CB52" s="761"/>
      <c r="CC52" s="761"/>
      <c r="CD52" s="761"/>
      <c r="CE52" s="761"/>
    </row>
    <row r="53" spans="3:83" s="759" customFormat="1">
      <c r="C53" s="760"/>
      <c r="D53" s="762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  <c r="P53" s="761"/>
      <c r="Q53" s="761"/>
      <c r="R53" s="769"/>
      <c r="S53" s="769"/>
      <c r="T53" s="769"/>
      <c r="U53" s="769"/>
      <c r="V53" s="769"/>
      <c r="W53" s="769"/>
      <c r="X53" s="769"/>
      <c r="Y53" s="769"/>
      <c r="Z53" s="769"/>
      <c r="AA53" s="769"/>
      <c r="AB53" s="769"/>
      <c r="AC53" s="769"/>
      <c r="AD53" s="769"/>
      <c r="AE53" s="769"/>
      <c r="AF53" s="769"/>
      <c r="AG53" s="769"/>
      <c r="AH53" s="769"/>
      <c r="AI53" s="769"/>
      <c r="AJ53" s="769"/>
      <c r="AK53" s="769"/>
      <c r="AL53" s="769"/>
      <c r="AM53" s="769"/>
      <c r="AN53" s="782"/>
      <c r="AO53" s="769"/>
      <c r="AP53" s="769"/>
      <c r="AQ53" s="769"/>
      <c r="AR53" s="769"/>
      <c r="AS53" s="769"/>
      <c r="AT53" s="769"/>
      <c r="AU53" s="761"/>
      <c r="AV53" s="761"/>
      <c r="AW53" s="761"/>
      <c r="AX53" s="761"/>
      <c r="AY53" s="761"/>
      <c r="AZ53" s="761"/>
      <c r="BA53" s="761"/>
      <c r="BB53" s="761"/>
      <c r="BC53" s="761"/>
      <c r="BD53" s="761"/>
      <c r="BE53" s="761"/>
      <c r="BF53" s="761"/>
      <c r="BG53" s="761"/>
      <c r="BH53" s="761"/>
      <c r="BI53" s="761"/>
      <c r="BJ53" s="761"/>
      <c r="BK53" s="761"/>
      <c r="BL53" s="761"/>
      <c r="BM53" s="761"/>
      <c r="BN53" s="761"/>
      <c r="BO53" s="761"/>
      <c r="BP53" s="761"/>
      <c r="BQ53" s="761"/>
      <c r="BR53" s="761"/>
      <c r="BS53" s="761"/>
      <c r="BT53" s="761"/>
      <c r="BU53" s="761"/>
      <c r="BV53" s="761"/>
      <c r="BW53" s="761"/>
      <c r="BX53" s="761"/>
      <c r="BY53" s="761"/>
      <c r="BZ53" s="761"/>
      <c r="CA53" s="761"/>
      <c r="CB53" s="761"/>
      <c r="CC53" s="761"/>
      <c r="CD53" s="761"/>
      <c r="CE53" s="761"/>
    </row>
    <row r="54" spans="3:83" s="759" customFormat="1">
      <c r="C54" s="760"/>
      <c r="D54" s="762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  <c r="P54" s="761"/>
      <c r="Q54" s="761"/>
      <c r="R54" s="769"/>
      <c r="S54" s="769"/>
      <c r="T54" s="769"/>
      <c r="U54" s="769"/>
      <c r="V54" s="769"/>
      <c r="W54" s="769"/>
      <c r="X54" s="769"/>
      <c r="Y54" s="769"/>
      <c r="Z54" s="769"/>
      <c r="AA54" s="769"/>
      <c r="AB54" s="769"/>
      <c r="AC54" s="769"/>
      <c r="AD54" s="769"/>
      <c r="AE54" s="769"/>
      <c r="AF54" s="769"/>
      <c r="AG54" s="769"/>
      <c r="AH54" s="769"/>
      <c r="AI54" s="769"/>
      <c r="AJ54" s="769"/>
      <c r="AK54" s="769"/>
      <c r="AL54" s="769"/>
      <c r="AM54" s="769"/>
      <c r="AN54" s="769"/>
      <c r="AO54" s="782"/>
      <c r="AP54" s="769"/>
      <c r="AQ54" s="769"/>
      <c r="AR54" s="769"/>
      <c r="AS54" s="769"/>
      <c r="AT54" s="769"/>
      <c r="AU54" s="761"/>
      <c r="AV54" s="761"/>
      <c r="AW54" s="761"/>
      <c r="AX54" s="761"/>
      <c r="AY54" s="761"/>
      <c r="AZ54" s="761"/>
      <c r="BA54" s="761"/>
      <c r="BB54" s="761"/>
      <c r="BC54" s="761"/>
      <c r="BD54" s="761"/>
      <c r="BE54" s="761"/>
      <c r="BF54" s="761"/>
      <c r="BG54" s="761"/>
      <c r="BH54" s="761"/>
      <c r="BI54" s="761"/>
      <c r="BJ54" s="761"/>
      <c r="BK54" s="761"/>
      <c r="BL54" s="761"/>
      <c r="BM54" s="761"/>
      <c r="BN54" s="761"/>
      <c r="BO54" s="761"/>
      <c r="BP54" s="761"/>
      <c r="BQ54" s="761"/>
      <c r="BR54" s="761"/>
      <c r="BS54" s="761"/>
      <c r="BT54" s="761"/>
      <c r="BU54" s="761"/>
      <c r="BV54" s="761"/>
      <c r="BW54" s="761"/>
      <c r="BX54" s="761"/>
      <c r="BY54" s="761"/>
      <c r="BZ54" s="761"/>
      <c r="CA54" s="761"/>
      <c r="CB54" s="761"/>
      <c r="CC54" s="761"/>
      <c r="CD54" s="761"/>
      <c r="CE54" s="761"/>
    </row>
    <row r="55" spans="3:83" s="759" customFormat="1">
      <c r="C55" s="760"/>
      <c r="D55" s="762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  <c r="P55" s="761"/>
      <c r="Q55" s="761"/>
      <c r="R55" s="769"/>
      <c r="S55" s="769"/>
      <c r="T55" s="769"/>
      <c r="U55" s="769"/>
      <c r="V55" s="769"/>
      <c r="W55" s="769"/>
      <c r="X55" s="769"/>
      <c r="Y55" s="769"/>
      <c r="Z55" s="769"/>
      <c r="AA55" s="769"/>
      <c r="AB55" s="769"/>
      <c r="AC55" s="769"/>
      <c r="AD55" s="769"/>
      <c r="AE55" s="769"/>
      <c r="AF55" s="769"/>
      <c r="AG55" s="769"/>
      <c r="AH55" s="769"/>
      <c r="AI55" s="769"/>
      <c r="AJ55" s="769"/>
      <c r="AK55" s="769"/>
      <c r="AL55" s="769"/>
      <c r="AM55" s="769"/>
      <c r="AN55" s="769"/>
      <c r="AO55" s="769"/>
      <c r="AP55" s="782"/>
      <c r="AQ55" s="769"/>
      <c r="AR55" s="769"/>
      <c r="AS55" s="769"/>
      <c r="AT55" s="769"/>
      <c r="AU55" s="761"/>
      <c r="AV55" s="761"/>
      <c r="AW55" s="761"/>
      <c r="AX55" s="761"/>
      <c r="AY55" s="761"/>
      <c r="AZ55" s="761"/>
      <c r="BA55" s="761"/>
      <c r="BB55" s="761"/>
      <c r="BC55" s="761"/>
      <c r="BD55" s="761"/>
      <c r="BE55" s="761"/>
      <c r="BF55" s="761"/>
      <c r="BG55" s="761"/>
      <c r="BH55" s="761"/>
      <c r="BI55" s="761"/>
      <c r="BJ55" s="761"/>
      <c r="BK55" s="761"/>
      <c r="BL55" s="761"/>
      <c r="BM55" s="761"/>
      <c r="BN55" s="761"/>
      <c r="BO55" s="761"/>
      <c r="BP55" s="761"/>
      <c r="BQ55" s="761"/>
      <c r="BR55" s="761"/>
      <c r="BS55" s="761"/>
      <c r="BT55" s="761"/>
      <c r="BU55" s="761"/>
      <c r="BV55" s="761"/>
      <c r="BW55" s="761"/>
      <c r="BX55" s="761"/>
      <c r="BY55" s="761"/>
      <c r="BZ55" s="761"/>
      <c r="CA55" s="761"/>
      <c r="CB55" s="761"/>
      <c r="CC55" s="761"/>
      <c r="CD55" s="761"/>
      <c r="CE55" s="761"/>
    </row>
    <row r="56" spans="3:83" s="759" customFormat="1">
      <c r="C56" s="760"/>
      <c r="D56" s="762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  <c r="P56" s="761"/>
      <c r="Q56" s="761"/>
      <c r="R56" s="769"/>
      <c r="S56" s="769"/>
      <c r="T56" s="769"/>
      <c r="U56" s="769"/>
      <c r="V56" s="769"/>
      <c r="W56" s="769"/>
      <c r="X56" s="769"/>
      <c r="Y56" s="769"/>
      <c r="Z56" s="769"/>
      <c r="AA56" s="769"/>
      <c r="AB56" s="769"/>
      <c r="AC56" s="769"/>
      <c r="AD56" s="769"/>
      <c r="AE56" s="769"/>
      <c r="AF56" s="769"/>
      <c r="AG56" s="769"/>
      <c r="AH56" s="769"/>
      <c r="AI56" s="769"/>
      <c r="AJ56" s="769"/>
      <c r="AK56" s="769"/>
      <c r="AL56" s="769"/>
      <c r="AM56" s="769"/>
      <c r="AN56" s="769"/>
      <c r="AO56" s="769"/>
      <c r="AP56" s="769"/>
      <c r="AQ56" s="782"/>
      <c r="AR56" s="769"/>
      <c r="AS56" s="769"/>
      <c r="AT56" s="769"/>
      <c r="AU56" s="761"/>
      <c r="AV56" s="761"/>
      <c r="AW56" s="761"/>
      <c r="AX56" s="761"/>
      <c r="AY56" s="761"/>
      <c r="AZ56" s="761"/>
      <c r="BA56" s="761"/>
      <c r="BB56" s="761"/>
      <c r="BC56" s="761"/>
      <c r="BD56" s="761"/>
      <c r="BE56" s="761"/>
      <c r="BF56" s="761"/>
      <c r="BG56" s="761"/>
      <c r="BH56" s="761"/>
      <c r="BI56" s="761"/>
      <c r="BJ56" s="761"/>
      <c r="BK56" s="761"/>
      <c r="BL56" s="761"/>
      <c r="BM56" s="761"/>
      <c r="BN56" s="761"/>
      <c r="BO56" s="761"/>
      <c r="BP56" s="761"/>
      <c r="BQ56" s="761"/>
      <c r="BR56" s="761"/>
      <c r="BS56" s="761"/>
      <c r="BT56" s="761"/>
      <c r="BU56" s="761"/>
      <c r="BV56" s="761"/>
      <c r="BW56" s="761"/>
      <c r="BX56" s="761"/>
      <c r="BY56" s="761"/>
      <c r="BZ56" s="761"/>
      <c r="CA56" s="761"/>
      <c r="CB56" s="761"/>
      <c r="CC56" s="761"/>
      <c r="CD56" s="761"/>
      <c r="CE56" s="761"/>
    </row>
    <row r="57" spans="3:83" s="759" customFormat="1">
      <c r="C57" s="760"/>
      <c r="D57" s="762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  <c r="P57" s="761"/>
      <c r="Q57" s="761"/>
      <c r="R57" s="769"/>
      <c r="S57" s="769"/>
      <c r="T57" s="769"/>
      <c r="U57" s="769"/>
      <c r="V57" s="769"/>
      <c r="W57" s="769"/>
      <c r="X57" s="769"/>
      <c r="Y57" s="769"/>
      <c r="Z57" s="769"/>
      <c r="AA57" s="769"/>
      <c r="AB57" s="769"/>
      <c r="AC57" s="769"/>
      <c r="AD57" s="769"/>
      <c r="AE57" s="769"/>
      <c r="AF57" s="769"/>
      <c r="AG57" s="769"/>
      <c r="AH57" s="769"/>
      <c r="AI57" s="769"/>
      <c r="AJ57" s="769"/>
      <c r="AK57" s="769"/>
      <c r="AL57" s="769"/>
      <c r="AM57" s="769"/>
      <c r="AN57" s="769"/>
      <c r="AO57" s="769"/>
      <c r="AP57" s="769"/>
      <c r="AQ57" s="769"/>
      <c r="AR57" s="782"/>
      <c r="AS57" s="769"/>
      <c r="AT57" s="769"/>
      <c r="AU57" s="761"/>
      <c r="AV57" s="761"/>
      <c r="AW57" s="761"/>
      <c r="AX57" s="761"/>
      <c r="AY57" s="761"/>
      <c r="AZ57" s="761"/>
      <c r="BA57" s="761"/>
      <c r="BB57" s="761"/>
      <c r="BC57" s="761"/>
      <c r="BD57" s="761"/>
      <c r="BE57" s="761"/>
      <c r="BF57" s="761"/>
      <c r="BG57" s="761"/>
      <c r="BH57" s="761"/>
      <c r="BI57" s="761"/>
      <c r="BJ57" s="761"/>
      <c r="BK57" s="761"/>
      <c r="BL57" s="761"/>
      <c r="BM57" s="761"/>
      <c r="BN57" s="761"/>
      <c r="BO57" s="761"/>
      <c r="BP57" s="761"/>
      <c r="BQ57" s="761"/>
      <c r="BR57" s="761"/>
      <c r="BS57" s="761"/>
      <c r="BT57" s="761"/>
      <c r="BU57" s="761"/>
      <c r="BV57" s="761"/>
      <c r="BW57" s="761"/>
      <c r="BX57" s="761"/>
      <c r="BY57" s="761"/>
      <c r="BZ57" s="761"/>
      <c r="CA57" s="761"/>
      <c r="CB57" s="761"/>
      <c r="CC57" s="761"/>
      <c r="CD57" s="761"/>
      <c r="CE57" s="761"/>
    </row>
    <row r="58" spans="3:83" s="759" customFormat="1">
      <c r="C58" s="760"/>
      <c r="D58" s="762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  <c r="P58" s="761"/>
      <c r="Q58" s="761"/>
      <c r="R58" s="769"/>
      <c r="S58" s="769"/>
      <c r="T58" s="769"/>
      <c r="U58" s="769"/>
      <c r="V58" s="769"/>
      <c r="W58" s="769"/>
      <c r="X58" s="769"/>
      <c r="Y58" s="769"/>
      <c r="Z58" s="769"/>
      <c r="AA58" s="769"/>
      <c r="AB58" s="769"/>
      <c r="AC58" s="769"/>
      <c r="AD58" s="769"/>
      <c r="AE58" s="769"/>
      <c r="AF58" s="769"/>
      <c r="AG58" s="769"/>
      <c r="AH58" s="769"/>
      <c r="AI58" s="769"/>
      <c r="AJ58" s="769"/>
      <c r="AK58" s="769"/>
      <c r="AL58" s="769"/>
      <c r="AM58" s="769"/>
      <c r="AN58" s="769"/>
      <c r="AO58" s="769"/>
      <c r="AP58" s="769"/>
      <c r="AQ58" s="769"/>
      <c r="AR58" s="769"/>
      <c r="AS58" s="782"/>
      <c r="AT58" s="769"/>
      <c r="AU58" s="761"/>
      <c r="AV58" s="761"/>
      <c r="AW58" s="761"/>
      <c r="AX58" s="761"/>
      <c r="AY58" s="761"/>
      <c r="AZ58" s="761"/>
      <c r="BA58" s="761"/>
      <c r="BB58" s="761"/>
      <c r="BC58" s="761"/>
      <c r="BD58" s="761"/>
      <c r="BE58" s="761"/>
      <c r="BF58" s="761"/>
      <c r="BG58" s="761"/>
      <c r="BH58" s="761"/>
      <c r="BI58" s="761"/>
      <c r="BJ58" s="761"/>
      <c r="BK58" s="761"/>
      <c r="BL58" s="761"/>
      <c r="BM58" s="761"/>
      <c r="BN58" s="761"/>
      <c r="BO58" s="761"/>
      <c r="BP58" s="761"/>
      <c r="BQ58" s="761"/>
      <c r="BR58" s="761"/>
      <c r="BS58" s="761"/>
      <c r="BT58" s="761"/>
      <c r="BU58" s="761"/>
      <c r="BV58" s="761"/>
      <c r="BW58" s="761"/>
      <c r="BX58" s="761"/>
      <c r="BY58" s="761"/>
      <c r="BZ58" s="761"/>
      <c r="CA58" s="761"/>
      <c r="CB58" s="761"/>
      <c r="CC58" s="761"/>
      <c r="CD58" s="761"/>
      <c r="CE58" s="761"/>
    </row>
    <row r="59" spans="3:83" s="759" customFormat="1">
      <c r="C59" s="760"/>
      <c r="D59" s="762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  <c r="P59" s="761"/>
      <c r="Q59" s="761"/>
      <c r="R59" s="769"/>
      <c r="S59" s="769"/>
      <c r="T59" s="769"/>
      <c r="U59" s="769"/>
      <c r="V59" s="769"/>
      <c r="W59" s="769"/>
      <c r="X59" s="769"/>
      <c r="Y59" s="769"/>
      <c r="Z59" s="769"/>
      <c r="AA59" s="769"/>
      <c r="AB59" s="769"/>
      <c r="AC59" s="769"/>
      <c r="AD59" s="769"/>
      <c r="AE59" s="769"/>
      <c r="AF59" s="769"/>
      <c r="AG59" s="769"/>
      <c r="AH59" s="769"/>
      <c r="AI59" s="769"/>
      <c r="AJ59" s="769"/>
      <c r="AK59" s="769"/>
      <c r="AL59" s="769"/>
      <c r="AM59" s="769"/>
      <c r="AN59" s="769"/>
      <c r="AO59" s="769"/>
      <c r="AP59" s="769"/>
      <c r="AQ59" s="769"/>
      <c r="AR59" s="769"/>
      <c r="AS59" s="769"/>
      <c r="AT59" s="782"/>
      <c r="AU59" s="761"/>
      <c r="AV59" s="761"/>
      <c r="AW59" s="761"/>
      <c r="AX59" s="761"/>
      <c r="AY59" s="761"/>
      <c r="AZ59" s="761"/>
      <c r="BA59" s="761"/>
      <c r="BB59" s="761"/>
      <c r="BC59" s="761"/>
      <c r="BD59" s="761"/>
      <c r="BE59" s="761"/>
      <c r="BF59" s="761"/>
      <c r="BG59" s="761"/>
      <c r="BH59" s="761"/>
      <c r="BI59" s="761"/>
      <c r="BJ59" s="761"/>
      <c r="BK59" s="761"/>
      <c r="BL59" s="761"/>
      <c r="BM59" s="761"/>
      <c r="BN59" s="761"/>
      <c r="BO59" s="761"/>
      <c r="BP59" s="761"/>
      <c r="BQ59" s="761"/>
      <c r="BR59" s="761"/>
      <c r="BS59" s="761"/>
      <c r="BT59" s="761"/>
      <c r="BU59" s="761"/>
      <c r="BV59" s="761"/>
      <c r="BW59" s="761"/>
      <c r="BX59" s="761"/>
      <c r="BY59" s="761"/>
      <c r="BZ59" s="761"/>
      <c r="CA59" s="761"/>
      <c r="CB59" s="761"/>
      <c r="CC59" s="761"/>
      <c r="CD59" s="761"/>
      <c r="CE59" s="761"/>
    </row>
    <row r="60" spans="3:83" s="759" customFormat="1">
      <c r="C60" s="760"/>
      <c r="D60" s="762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  <c r="P60" s="761"/>
      <c r="Q60" s="761"/>
      <c r="R60" s="769"/>
      <c r="S60" s="769"/>
      <c r="T60" s="769"/>
      <c r="U60" s="769"/>
      <c r="V60" s="769"/>
      <c r="W60" s="769"/>
      <c r="X60" s="769"/>
      <c r="Y60" s="769"/>
      <c r="Z60" s="769"/>
      <c r="AA60" s="769"/>
      <c r="AB60" s="769"/>
      <c r="AC60" s="769"/>
      <c r="AD60" s="769"/>
      <c r="AE60" s="769"/>
      <c r="AF60" s="769"/>
      <c r="AG60" s="769"/>
      <c r="AH60" s="769"/>
      <c r="AI60" s="769"/>
      <c r="AJ60" s="769"/>
      <c r="AK60" s="769"/>
      <c r="AL60" s="769"/>
      <c r="AM60" s="769"/>
      <c r="AN60" s="769"/>
      <c r="AO60" s="769"/>
      <c r="AP60" s="769"/>
      <c r="AQ60" s="769"/>
      <c r="AR60" s="769"/>
      <c r="AS60" s="769"/>
      <c r="AT60" s="769"/>
      <c r="AU60" s="763"/>
      <c r="AV60" s="761"/>
      <c r="AW60" s="761"/>
      <c r="AX60" s="761"/>
      <c r="AY60" s="761"/>
      <c r="AZ60" s="761"/>
      <c r="BA60" s="761"/>
      <c r="BB60" s="761"/>
      <c r="BC60" s="761"/>
      <c r="BD60" s="761"/>
      <c r="BE60" s="761"/>
      <c r="BF60" s="761"/>
      <c r="BG60" s="761"/>
      <c r="BH60" s="761"/>
      <c r="BI60" s="761"/>
      <c r="BJ60" s="761"/>
      <c r="BK60" s="761"/>
      <c r="BL60" s="761"/>
      <c r="BM60" s="761"/>
      <c r="BN60" s="761"/>
      <c r="BO60" s="761"/>
      <c r="BP60" s="761"/>
      <c r="BQ60" s="761"/>
      <c r="BR60" s="761"/>
      <c r="BS60" s="761"/>
      <c r="BT60" s="761"/>
      <c r="BU60" s="761"/>
      <c r="BV60" s="761"/>
      <c r="BW60" s="761"/>
      <c r="BX60" s="761"/>
      <c r="BY60" s="761"/>
      <c r="BZ60" s="761"/>
      <c r="CA60" s="761"/>
      <c r="CB60" s="761"/>
      <c r="CC60" s="761"/>
      <c r="CD60" s="761"/>
      <c r="CE60" s="761"/>
    </row>
    <row r="61" spans="3:83" s="759" customFormat="1">
      <c r="C61" s="760"/>
      <c r="D61" s="762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  <c r="P61" s="761"/>
      <c r="Q61" s="761"/>
      <c r="R61" s="769"/>
      <c r="S61" s="769"/>
      <c r="T61" s="769"/>
      <c r="U61" s="769"/>
      <c r="V61" s="769"/>
      <c r="W61" s="769"/>
      <c r="X61" s="769"/>
      <c r="Y61" s="769"/>
      <c r="Z61" s="769"/>
      <c r="AA61" s="769"/>
      <c r="AB61" s="769"/>
      <c r="AC61" s="769"/>
      <c r="AD61" s="769"/>
      <c r="AE61" s="769"/>
      <c r="AF61" s="769"/>
      <c r="AG61" s="769"/>
      <c r="AH61" s="769"/>
      <c r="AI61" s="769"/>
      <c r="AJ61" s="769"/>
      <c r="AK61" s="769"/>
      <c r="AL61" s="769"/>
      <c r="AM61" s="769"/>
      <c r="AN61" s="769"/>
      <c r="AO61" s="769"/>
      <c r="AP61" s="769"/>
      <c r="AQ61" s="769"/>
      <c r="AR61" s="769"/>
      <c r="AS61" s="769"/>
      <c r="AT61" s="769"/>
      <c r="AU61" s="761"/>
      <c r="AV61" s="763"/>
      <c r="AW61" s="761"/>
      <c r="AX61" s="761"/>
      <c r="AY61" s="761"/>
      <c r="AZ61" s="761"/>
      <c r="BA61" s="761"/>
      <c r="BB61" s="761"/>
      <c r="BC61" s="761"/>
      <c r="BD61" s="761"/>
      <c r="BE61" s="761"/>
      <c r="BF61" s="761"/>
      <c r="BG61" s="761"/>
      <c r="BH61" s="761"/>
      <c r="BI61" s="761"/>
      <c r="BJ61" s="761"/>
      <c r="BK61" s="761"/>
      <c r="BL61" s="761"/>
      <c r="BM61" s="761"/>
      <c r="BN61" s="761"/>
      <c r="BO61" s="761"/>
      <c r="BP61" s="761"/>
      <c r="BQ61" s="761"/>
      <c r="BR61" s="761"/>
      <c r="BS61" s="761"/>
      <c r="BT61" s="761"/>
      <c r="BU61" s="761"/>
      <c r="BV61" s="761"/>
      <c r="BW61" s="761"/>
      <c r="BX61" s="761"/>
      <c r="BY61" s="761"/>
      <c r="BZ61" s="761"/>
      <c r="CA61" s="761"/>
      <c r="CB61" s="761"/>
      <c r="CC61" s="761"/>
      <c r="CD61" s="761"/>
      <c r="CE61" s="761"/>
    </row>
    <row r="62" spans="3:83" s="759" customFormat="1">
      <c r="C62" s="760"/>
      <c r="D62" s="762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  <c r="P62" s="761"/>
      <c r="Q62" s="761"/>
      <c r="R62" s="769"/>
      <c r="S62" s="769"/>
      <c r="T62" s="769"/>
      <c r="U62" s="769"/>
      <c r="V62" s="769"/>
      <c r="W62" s="769"/>
      <c r="X62" s="769"/>
      <c r="Y62" s="769"/>
      <c r="Z62" s="769"/>
      <c r="AA62" s="769"/>
      <c r="AB62" s="769"/>
      <c r="AC62" s="769"/>
      <c r="AD62" s="769"/>
      <c r="AE62" s="769"/>
      <c r="AF62" s="769"/>
      <c r="AG62" s="769"/>
      <c r="AH62" s="769"/>
      <c r="AI62" s="769"/>
      <c r="AJ62" s="769"/>
      <c r="AK62" s="769"/>
      <c r="AL62" s="769"/>
      <c r="AM62" s="769"/>
      <c r="AN62" s="769"/>
      <c r="AO62" s="769"/>
      <c r="AP62" s="769"/>
      <c r="AQ62" s="769"/>
      <c r="AR62" s="769"/>
      <c r="AS62" s="769"/>
      <c r="AT62" s="769"/>
      <c r="AU62" s="761"/>
      <c r="AV62" s="761"/>
      <c r="AW62" s="763"/>
      <c r="AX62" s="761"/>
      <c r="AY62" s="761"/>
      <c r="AZ62" s="761"/>
      <c r="BA62" s="761"/>
      <c r="BB62" s="761"/>
      <c r="BC62" s="761"/>
      <c r="BD62" s="761"/>
      <c r="BE62" s="761"/>
      <c r="BF62" s="761"/>
      <c r="BG62" s="761"/>
      <c r="BH62" s="761"/>
      <c r="BI62" s="761"/>
      <c r="BJ62" s="761"/>
      <c r="BK62" s="761"/>
      <c r="BL62" s="761"/>
      <c r="BM62" s="761"/>
      <c r="BN62" s="761"/>
      <c r="BO62" s="761"/>
      <c r="BP62" s="761"/>
      <c r="BQ62" s="761"/>
      <c r="BR62" s="761"/>
      <c r="BS62" s="761"/>
      <c r="BT62" s="761"/>
      <c r="BU62" s="761"/>
      <c r="BV62" s="761"/>
      <c r="BW62" s="761"/>
      <c r="BX62" s="761"/>
      <c r="BY62" s="761"/>
      <c r="BZ62" s="761"/>
      <c r="CA62" s="761"/>
      <c r="CB62" s="761"/>
      <c r="CC62" s="761"/>
      <c r="CD62" s="761"/>
      <c r="CE62" s="761"/>
    </row>
    <row r="63" spans="3:83" s="759" customFormat="1">
      <c r="C63" s="760"/>
      <c r="D63" s="762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  <c r="P63" s="761"/>
      <c r="Q63" s="761"/>
      <c r="R63" s="769"/>
      <c r="S63" s="769"/>
      <c r="T63" s="769"/>
      <c r="U63" s="769"/>
      <c r="V63" s="769"/>
      <c r="W63" s="769"/>
      <c r="X63" s="769"/>
      <c r="Y63" s="769"/>
      <c r="Z63" s="769"/>
      <c r="AA63" s="769"/>
      <c r="AB63" s="769"/>
      <c r="AC63" s="769"/>
      <c r="AD63" s="769"/>
      <c r="AE63" s="769"/>
      <c r="AF63" s="769"/>
      <c r="AG63" s="769"/>
      <c r="AH63" s="769"/>
      <c r="AI63" s="769"/>
      <c r="AJ63" s="769"/>
      <c r="AK63" s="769"/>
      <c r="AL63" s="769"/>
      <c r="AM63" s="769"/>
      <c r="AN63" s="769"/>
      <c r="AO63" s="769"/>
      <c r="AP63" s="769"/>
      <c r="AQ63" s="769"/>
      <c r="AR63" s="769"/>
      <c r="AS63" s="769"/>
      <c r="AT63" s="769"/>
      <c r="AU63" s="761"/>
      <c r="AV63" s="761"/>
      <c r="AW63" s="761"/>
      <c r="AX63" s="763"/>
      <c r="AY63" s="761"/>
      <c r="AZ63" s="761"/>
      <c r="BA63" s="761"/>
      <c r="BB63" s="761"/>
      <c r="BC63" s="761"/>
      <c r="BD63" s="761"/>
      <c r="BE63" s="761"/>
      <c r="BF63" s="761"/>
      <c r="BG63" s="761"/>
      <c r="BH63" s="761"/>
      <c r="BI63" s="761"/>
      <c r="BJ63" s="761"/>
      <c r="BK63" s="761"/>
      <c r="BL63" s="761"/>
      <c r="BM63" s="761"/>
      <c r="BN63" s="761"/>
      <c r="BO63" s="761"/>
      <c r="BP63" s="761"/>
      <c r="BQ63" s="761"/>
      <c r="BR63" s="761"/>
      <c r="BS63" s="761"/>
      <c r="BT63" s="761"/>
      <c r="BU63" s="761"/>
      <c r="BV63" s="761"/>
      <c r="BW63" s="761"/>
      <c r="BX63" s="761"/>
      <c r="BY63" s="761"/>
      <c r="BZ63" s="761"/>
      <c r="CA63" s="761"/>
      <c r="CB63" s="761"/>
      <c r="CC63" s="761"/>
      <c r="CD63" s="761"/>
      <c r="CE63" s="761"/>
    </row>
    <row r="64" spans="3:83" s="759" customFormat="1">
      <c r="C64" s="760"/>
      <c r="D64" s="762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  <c r="P64" s="761"/>
      <c r="Q64" s="761"/>
      <c r="R64" s="769"/>
      <c r="S64" s="769"/>
      <c r="T64" s="769"/>
      <c r="U64" s="769"/>
      <c r="V64" s="769"/>
      <c r="W64" s="769"/>
      <c r="X64" s="769"/>
      <c r="Y64" s="769"/>
      <c r="Z64" s="769"/>
      <c r="AA64" s="769"/>
      <c r="AB64" s="769"/>
      <c r="AC64" s="769"/>
      <c r="AD64" s="769"/>
      <c r="AE64" s="769"/>
      <c r="AF64" s="769"/>
      <c r="AG64" s="769"/>
      <c r="AH64" s="769"/>
      <c r="AI64" s="769"/>
      <c r="AJ64" s="769"/>
      <c r="AK64" s="769"/>
      <c r="AL64" s="769"/>
      <c r="AM64" s="769"/>
      <c r="AN64" s="769"/>
      <c r="AO64" s="769"/>
      <c r="AP64" s="769"/>
      <c r="AQ64" s="769"/>
      <c r="AR64" s="769"/>
      <c r="AS64" s="769"/>
      <c r="AT64" s="769"/>
      <c r="AU64" s="761"/>
      <c r="AV64" s="761"/>
      <c r="AW64" s="761"/>
      <c r="AX64" s="761"/>
      <c r="AY64" s="763"/>
      <c r="AZ64" s="761"/>
      <c r="BA64" s="761"/>
      <c r="BB64" s="761"/>
      <c r="BC64" s="761"/>
      <c r="BD64" s="761"/>
      <c r="BE64" s="761"/>
      <c r="BF64" s="761"/>
      <c r="BG64" s="761"/>
      <c r="BH64" s="761"/>
      <c r="BI64" s="761"/>
      <c r="BJ64" s="761"/>
      <c r="BK64" s="761"/>
      <c r="BL64" s="761"/>
      <c r="BM64" s="761"/>
      <c r="BN64" s="761"/>
      <c r="BO64" s="761"/>
      <c r="BP64" s="761"/>
      <c r="BQ64" s="761"/>
      <c r="BR64" s="761"/>
      <c r="BS64" s="761"/>
      <c r="BT64" s="761"/>
      <c r="BU64" s="761"/>
      <c r="BV64" s="761"/>
      <c r="BW64" s="761"/>
      <c r="BX64" s="761"/>
      <c r="BY64" s="761"/>
      <c r="BZ64" s="761"/>
      <c r="CA64" s="761"/>
      <c r="CB64" s="761"/>
      <c r="CC64" s="761"/>
      <c r="CD64" s="761"/>
      <c r="CE64" s="761"/>
    </row>
    <row r="65" spans="3:83" s="759" customFormat="1">
      <c r="C65" s="760"/>
      <c r="D65" s="762"/>
      <c r="E65" s="761"/>
      <c r="F65" s="761"/>
      <c r="G65" s="761"/>
      <c r="H65" s="761"/>
      <c r="I65" s="761"/>
      <c r="J65" s="761"/>
      <c r="K65" s="761"/>
      <c r="L65" s="761"/>
      <c r="M65" s="761"/>
      <c r="N65" s="761"/>
      <c r="O65" s="761"/>
      <c r="P65" s="761"/>
      <c r="Q65" s="761"/>
      <c r="R65" s="769"/>
      <c r="S65" s="769"/>
      <c r="T65" s="769"/>
      <c r="U65" s="769"/>
      <c r="V65" s="769"/>
      <c r="W65" s="769"/>
      <c r="X65" s="769"/>
      <c r="Y65" s="769"/>
      <c r="Z65" s="769"/>
      <c r="AA65" s="769"/>
      <c r="AB65" s="769"/>
      <c r="AC65" s="769"/>
      <c r="AD65" s="769"/>
      <c r="AE65" s="769"/>
      <c r="AF65" s="769"/>
      <c r="AG65" s="769"/>
      <c r="AH65" s="769"/>
      <c r="AI65" s="769"/>
      <c r="AJ65" s="769"/>
      <c r="AK65" s="769"/>
      <c r="AL65" s="769"/>
      <c r="AM65" s="769"/>
      <c r="AN65" s="769"/>
      <c r="AO65" s="769"/>
      <c r="AP65" s="769"/>
      <c r="AQ65" s="769"/>
      <c r="AR65" s="769"/>
      <c r="AS65" s="769"/>
      <c r="AT65" s="769"/>
      <c r="AU65" s="761"/>
      <c r="AV65" s="761"/>
      <c r="AW65" s="761"/>
      <c r="AX65" s="761"/>
      <c r="AY65" s="761"/>
      <c r="AZ65" s="763"/>
      <c r="BA65" s="761"/>
      <c r="BB65" s="761"/>
      <c r="BC65" s="761"/>
      <c r="BD65" s="761"/>
      <c r="BE65" s="761"/>
      <c r="BF65" s="761"/>
      <c r="BG65" s="761"/>
      <c r="BH65" s="761"/>
      <c r="BI65" s="761"/>
      <c r="BJ65" s="761"/>
      <c r="BK65" s="761"/>
      <c r="BL65" s="761"/>
      <c r="BM65" s="761"/>
      <c r="BN65" s="761"/>
      <c r="BO65" s="761"/>
      <c r="BP65" s="761"/>
      <c r="BQ65" s="761"/>
      <c r="BR65" s="761"/>
      <c r="BS65" s="761"/>
      <c r="BT65" s="761"/>
      <c r="BU65" s="761"/>
      <c r="BV65" s="761"/>
      <c r="BW65" s="761"/>
      <c r="BX65" s="761"/>
      <c r="BY65" s="761"/>
      <c r="BZ65" s="761"/>
      <c r="CA65" s="761"/>
      <c r="CB65" s="761"/>
      <c r="CC65" s="761"/>
      <c r="CD65" s="761"/>
      <c r="CE65" s="761"/>
    </row>
    <row r="66" spans="3:83" s="759" customFormat="1">
      <c r="C66" s="760"/>
      <c r="D66" s="762"/>
      <c r="E66" s="761"/>
      <c r="F66" s="761"/>
      <c r="G66" s="761"/>
      <c r="H66" s="761"/>
      <c r="I66" s="761"/>
      <c r="J66" s="761"/>
      <c r="K66" s="761"/>
      <c r="L66" s="761"/>
      <c r="M66" s="761"/>
      <c r="N66" s="761"/>
      <c r="O66" s="761"/>
      <c r="P66" s="761"/>
      <c r="Q66" s="761"/>
      <c r="R66" s="769"/>
      <c r="S66" s="769"/>
      <c r="T66" s="769"/>
      <c r="U66" s="769"/>
      <c r="V66" s="769"/>
      <c r="W66" s="769"/>
      <c r="X66" s="769"/>
      <c r="Y66" s="769"/>
      <c r="Z66" s="769"/>
      <c r="AA66" s="769"/>
      <c r="AB66" s="769"/>
      <c r="AC66" s="769"/>
      <c r="AD66" s="769"/>
      <c r="AE66" s="769"/>
      <c r="AF66" s="769"/>
      <c r="AG66" s="769"/>
      <c r="AH66" s="769"/>
      <c r="AI66" s="769"/>
      <c r="AJ66" s="769"/>
      <c r="AK66" s="769"/>
      <c r="AL66" s="769"/>
      <c r="AM66" s="769"/>
      <c r="AN66" s="769"/>
      <c r="AO66" s="769"/>
      <c r="AP66" s="769"/>
      <c r="AQ66" s="769"/>
      <c r="AR66" s="769"/>
      <c r="AS66" s="769"/>
      <c r="AT66" s="769"/>
      <c r="AU66" s="761"/>
      <c r="AV66" s="761"/>
      <c r="AW66" s="761"/>
      <c r="AX66" s="761"/>
      <c r="AY66" s="761"/>
      <c r="AZ66" s="761"/>
      <c r="BA66" s="763"/>
      <c r="BB66" s="761"/>
      <c r="BC66" s="761"/>
      <c r="BD66" s="761"/>
      <c r="BE66" s="761"/>
      <c r="BF66" s="761"/>
      <c r="BG66" s="761"/>
      <c r="BH66" s="761"/>
      <c r="BI66" s="761"/>
      <c r="BJ66" s="761"/>
      <c r="BK66" s="761"/>
      <c r="BL66" s="761"/>
      <c r="BM66" s="761"/>
      <c r="BN66" s="761"/>
      <c r="BO66" s="761"/>
      <c r="BP66" s="761"/>
      <c r="BQ66" s="761"/>
      <c r="BR66" s="761"/>
      <c r="BS66" s="761"/>
      <c r="BT66" s="761"/>
      <c r="BU66" s="761"/>
      <c r="BV66" s="761"/>
      <c r="BW66" s="761"/>
      <c r="BX66" s="761"/>
      <c r="BY66" s="761"/>
      <c r="BZ66" s="761"/>
      <c r="CA66" s="761"/>
      <c r="CB66" s="761"/>
      <c r="CC66" s="761"/>
      <c r="CD66" s="761"/>
      <c r="CE66" s="761"/>
    </row>
    <row r="67" spans="3:83" s="759" customFormat="1">
      <c r="C67" s="760"/>
      <c r="D67" s="762"/>
      <c r="E67" s="761"/>
      <c r="F67" s="761"/>
      <c r="G67" s="761"/>
      <c r="H67" s="761"/>
      <c r="I67" s="761"/>
      <c r="J67" s="761"/>
      <c r="K67" s="761"/>
      <c r="L67" s="761"/>
      <c r="M67" s="761"/>
      <c r="N67" s="761"/>
      <c r="O67" s="761"/>
      <c r="P67" s="761"/>
      <c r="Q67" s="761"/>
      <c r="R67" s="769"/>
      <c r="S67" s="769"/>
      <c r="T67" s="769"/>
      <c r="U67" s="769"/>
      <c r="V67" s="769"/>
      <c r="W67" s="769"/>
      <c r="X67" s="769"/>
      <c r="Y67" s="769"/>
      <c r="Z67" s="769"/>
      <c r="AA67" s="769"/>
      <c r="AB67" s="769"/>
      <c r="AC67" s="769"/>
      <c r="AD67" s="769"/>
      <c r="AE67" s="769"/>
      <c r="AF67" s="769"/>
      <c r="AG67" s="769"/>
      <c r="AH67" s="769"/>
      <c r="AI67" s="769"/>
      <c r="AJ67" s="769"/>
      <c r="AK67" s="769"/>
      <c r="AL67" s="769"/>
      <c r="AM67" s="769"/>
      <c r="AN67" s="769"/>
      <c r="AO67" s="769"/>
      <c r="AP67" s="769"/>
      <c r="AQ67" s="769"/>
      <c r="AR67" s="769"/>
      <c r="AS67" s="769"/>
      <c r="AT67" s="769"/>
      <c r="AU67" s="761"/>
      <c r="AV67" s="761"/>
      <c r="AW67" s="761"/>
      <c r="AX67" s="761"/>
      <c r="AY67" s="761"/>
      <c r="AZ67" s="761"/>
      <c r="BA67" s="761"/>
      <c r="BB67" s="763"/>
      <c r="BC67" s="761"/>
      <c r="BD67" s="761"/>
      <c r="BE67" s="761"/>
      <c r="BF67" s="761"/>
      <c r="BG67" s="761"/>
      <c r="BH67" s="761"/>
      <c r="BI67" s="761"/>
      <c r="BJ67" s="761"/>
      <c r="BK67" s="761"/>
      <c r="BL67" s="761"/>
      <c r="BM67" s="761"/>
      <c r="BN67" s="761"/>
      <c r="BO67" s="761"/>
      <c r="BP67" s="761"/>
      <c r="BQ67" s="761"/>
      <c r="BR67" s="761"/>
      <c r="BS67" s="761"/>
      <c r="BT67" s="761"/>
      <c r="BU67" s="761"/>
      <c r="BV67" s="761"/>
      <c r="BW67" s="761"/>
      <c r="BX67" s="761"/>
      <c r="BY67" s="761"/>
      <c r="BZ67" s="761"/>
      <c r="CA67" s="761"/>
      <c r="CB67" s="761"/>
      <c r="CC67" s="761"/>
      <c r="CD67" s="761"/>
      <c r="CE67" s="761"/>
    </row>
    <row r="68" spans="3:83" s="759" customFormat="1">
      <c r="C68" s="760"/>
      <c r="D68" s="762"/>
      <c r="E68" s="761"/>
      <c r="F68" s="761"/>
      <c r="G68" s="761"/>
      <c r="H68" s="761"/>
      <c r="I68" s="761"/>
      <c r="J68" s="761"/>
      <c r="K68" s="761"/>
      <c r="L68" s="761"/>
      <c r="M68" s="761"/>
      <c r="N68" s="761"/>
      <c r="O68" s="761"/>
      <c r="P68" s="761"/>
      <c r="Q68" s="761"/>
      <c r="R68" s="769"/>
      <c r="S68" s="769"/>
      <c r="T68" s="769"/>
      <c r="U68" s="769"/>
      <c r="V68" s="769"/>
      <c r="W68" s="769"/>
      <c r="X68" s="769"/>
      <c r="Y68" s="769"/>
      <c r="Z68" s="769"/>
      <c r="AA68" s="769"/>
      <c r="AB68" s="769"/>
      <c r="AC68" s="769"/>
      <c r="AD68" s="769"/>
      <c r="AE68" s="769"/>
      <c r="AF68" s="769"/>
      <c r="AG68" s="769"/>
      <c r="AH68" s="769"/>
      <c r="AI68" s="769"/>
      <c r="AJ68" s="769"/>
      <c r="AK68" s="769"/>
      <c r="AL68" s="769"/>
      <c r="AM68" s="769"/>
      <c r="AN68" s="769"/>
      <c r="AO68" s="769"/>
      <c r="AP68" s="769"/>
      <c r="AQ68" s="769"/>
      <c r="AR68" s="769"/>
      <c r="AS68" s="769"/>
      <c r="AT68" s="769"/>
      <c r="AU68" s="761"/>
      <c r="AV68" s="761"/>
      <c r="AW68" s="761"/>
      <c r="AX68" s="761"/>
      <c r="AY68" s="761"/>
      <c r="AZ68" s="761"/>
      <c r="BA68" s="761"/>
      <c r="BB68" s="761"/>
      <c r="BC68" s="763"/>
      <c r="BD68" s="761"/>
      <c r="BE68" s="761"/>
      <c r="BF68" s="761"/>
      <c r="BG68" s="761"/>
      <c r="BH68" s="761"/>
      <c r="BI68" s="761"/>
      <c r="BJ68" s="761"/>
      <c r="BK68" s="761"/>
      <c r="BL68" s="761"/>
      <c r="BM68" s="761"/>
      <c r="BN68" s="761"/>
      <c r="BO68" s="761"/>
      <c r="BP68" s="761"/>
      <c r="BQ68" s="761"/>
      <c r="BR68" s="761"/>
      <c r="BS68" s="761"/>
      <c r="BT68" s="761"/>
      <c r="BU68" s="761"/>
      <c r="BV68" s="761"/>
      <c r="BW68" s="761"/>
      <c r="BX68" s="761"/>
      <c r="BY68" s="761"/>
      <c r="BZ68" s="761"/>
      <c r="CA68" s="761"/>
      <c r="CB68" s="761"/>
      <c r="CC68" s="761"/>
      <c r="CD68" s="761"/>
      <c r="CE68" s="761"/>
    </row>
    <row r="69" spans="3:83" s="759" customFormat="1">
      <c r="C69" s="760"/>
      <c r="D69" s="762"/>
      <c r="E69" s="761"/>
      <c r="F69" s="761"/>
      <c r="G69" s="761"/>
      <c r="H69" s="761"/>
      <c r="I69" s="761"/>
      <c r="J69" s="761"/>
      <c r="K69" s="761"/>
      <c r="L69" s="761"/>
      <c r="M69" s="761"/>
      <c r="N69" s="761"/>
      <c r="O69" s="761"/>
      <c r="P69" s="761"/>
      <c r="Q69" s="761"/>
      <c r="R69" s="769"/>
      <c r="S69" s="769"/>
      <c r="T69" s="769"/>
      <c r="U69" s="769"/>
      <c r="V69" s="769"/>
      <c r="W69" s="769"/>
      <c r="X69" s="769"/>
      <c r="Y69" s="769"/>
      <c r="Z69" s="769"/>
      <c r="AA69" s="769"/>
      <c r="AB69" s="769"/>
      <c r="AC69" s="769"/>
      <c r="AD69" s="769"/>
      <c r="AE69" s="769"/>
      <c r="AF69" s="769"/>
      <c r="AG69" s="769"/>
      <c r="AH69" s="769"/>
      <c r="AI69" s="769"/>
      <c r="AJ69" s="769"/>
      <c r="AK69" s="769"/>
      <c r="AL69" s="769"/>
      <c r="AM69" s="769"/>
      <c r="AN69" s="769"/>
      <c r="AO69" s="769"/>
      <c r="AP69" s="769"/>
      <c r="AQ69" s="769"/>
      <c r="AR69" s="769"/>
      <c r="AS69" s="769"/>
      <c r="AT69" s="769"/>
      <c r="AU69" s="761"/>
      <c r="AV69" s="761"/>
      <c r="AW69" s="761"/>
      <c r="AX69" s="761"/>
      <c r="AY69" s="761"/>
      <c r="AZ69" s="761"/>
      <c r="BA69" s="761"/>
      <c r="BB69" s="761"/>
      <c r="BC69" s="761"/>
      <c r="BD69" s="763"/>
      <c r="BE69" s="761"/>
      <c r="BF69" s="761"/>
      <c r="BG69" s="761"/>
      <c r="BH69" s="761"/>
      <c r="BI69" s="761"/>
      <c r="BJ69" s="761"/>
      <c r="BK69" s="761"/>
      <c r="BL69" s="761"/>
      <c r="BM69" s="761"/>
      <c r="BN69" s="761"/>
      <c r="BO69" s="761"/>
      <c r="BP69" s="761"/>
      <c r="BQ69" s="761"/>
      <c r="BR69" s="761"/>
      <c r="BS69" s="761"/>
      <c r="BT69" s="761"/>
      <c r="BU69" s="761"/>
      <c r="BV69" s="761"/>
      <c r="BW69" s="761"/>
      <c r="BX69" s="761"/>
      <c r="BY69" s="761"/>
      <c r="BZ69" s="761"/>
      <c r="CA69" s="761"/>
      <c r="CB69" s="761"/>
      <c r="CC69" s="761"/>
      <c r="CD69" s="761"/>
      <c r="CE69" s="761"/>
    </row>
    <row r="70" spans="3:83" s="759" customFormat="1">
      <c r="C70" s="760"/>
      <c r="D70" s="762"/>
      <c r="E70" s="761"/>
      <c r="F70" s="761"/>
      <c r="G70" s="761"/>
      <c r="H70" s="761"/>
      <c r="I70" s="761"/>
      <c r="J70" s="761"/>
      <c r="K70" s="761"/>
      <c r="L70" s="761"/>
      <c r="M70" s="761"/>
      <c r="N70" s="761"/>
      <c r="O70" s="761"/>
      <c r="P70" s="761"/>
      <c r="Q70" s="761"/>
      <c r="R70" s="769"/>
      <c r="S70" s="769"/>
      <c r="T70" s="769"/>
      <c r="U70" s="769"/>
      <c r="V70" s="769"/>
      <c r="W70" s="769"/>
      <c r="X70" s="769"/>
      <c r="Y70" s="769"/>
      <c r="Z70" s="769"/>
      <c r="AA70" s="769"/>
      <c r="AB70" s="769"/>
      <c r="AC70" s="769"/>
      <c r="AD70" s="769"/>
      <c r="AE70" s="769"/>
      <c r="AF70" s="769"/>
      <c r="AG70" s="769"/>
      <c r="AH70" s="769"/>
      <c r="AI70" s="769"/>
      <c r="AJ70" s="769"/>
      <c r="AK70" s="769"/>
      <c r="AL70" s="769"/>
      <c r="AM70" s="769"/>
      <c r="AN70" s="769"/>
      <c r="AO70" s="769"/>
      <c r="AP70" s="769"/>
      <c r="AQ70" s="769"/>
      <c r="AR70" s="769"/>
      <c r="AS70" s="769"/>
      <c r="AT70" s="769"/>
      <c r="AU70" s="761"/>
      <c r="AV70" s="761"/>
      <c r="AW70" s="761"/>
      <c r="AX70" s="761"/>
      <c r="AY70" s="761"/>
      <c r="AZ70" s="761"/>
      <c r="BA70" s="761"/>
      <c r="BB70" s="761"/>
      <c r="BC70" s="761"/>
      <c r="BD70" s="761"/>
      <c r="BE70" s="763"/>
      <c r="BF70" s="761"/>
      <c r="BG70" s="761"/>
      <c r="BH70" s="761"/>
      <c r="BI70" s="761"/>
      <c r="BJ70" s="761"/>
      <c r="BK70" s="761"/>
      <c r="BL70" s="761"/>
      <c r="BM70" s="761"/>
      <c r="BN70" s="761"/>
      <c r="BO70" s="761"/>
      <c r="BP70" s="761"/>
      <c r="BQ70" s="761"/>
      <c r="BR70" s="761"/>
      <c r="BS70" s="761"/>
      <c r="BT70" s="761"/>
      <c r="BU70" s="761"/>
      <c r="BV70" s="761"/>
      <c r="BW70" s="761"/>
      <c r="BX70" s="761"/>
      <c r="BY70" s="761"/>
      <c r="BZ70" s="761"/>
      <c r="CA70" s="761"/>
      <c r="CB70" s="761"/>
      <c r="CC70" s="761"/>
      <c r="CD70" s="761"/>
      <c r="CE70" s="761"/>
    </row>
    <row r="71" spans="3:83" s="759" customFormat="1">
      <c r="C71" s="760"/>
      <c r="D71" s="762"/>
      <c r="E71" s="761"/>
      <c r="F71" s="761"/>
      <c r="G71" s="761"/>
      <c r="H71" s="761"/>
      <c r="I71" s="761"/>
      <c r="J71" s="761"/>
      <c r="K71" s="761"/>
      <c r="L71" s="761"/>
      <c r="M71" s="761"/>
      <c r="N71" s="761"/>
      <c r="O71" s="761"/>
      <c r="P71" s="761"/>
      <c r="Q71" s="761"/>
      <c r="R71" s="769"/>
      <c r="S71" s="769"/>
      <c r="T71" s="769"/>
      <c r="U71" s="769"/>
      <c r="V71" s="769"/>
      <c r="W71" s="769"/>
      <c r="X71" s="769"/>
      <c r="Y71" s="769"/>
      <c r="Z71" s="769"/>
      <c r="AA71" s="769"/>
      <c r="AB71" s="769"/>
      <c r="AC71" s="769"/>
      <c r="AD71" s="769"/>
      <c r="AE71" s="769"/>
      <c r="AF71" s="769"/>
      <c r="AG71" s="769"/>
      <c r="AH71" s="769"/>
      <c r="AI71" s="769"/>
      <c r="AJ71" s="769"/>
      <c r="AK71" s="769"/>
      <c r="AL71" s="769"/>
      <c r="AM71" s="769"/>
      <c r="AN71" s="769"/>
      <c r="AO71" s="769"/>
      <c r="AP71" s="769"/>
      <c r="AQ71" s="769"/>
      <c r="AR71" s="769"/>
      <c r="AS71" s="769"/>
      <c r="AT71" s="769"/>
      <c r="AU71" s="761"/>
      <c r="AV71" s="761"/>
      <c r="AW71" s="761"/>
      <c r="AX71" s="761"/>
      <c r="AY71" s="761"/>
      <c r="AZ71" s="761"/>
      <c r="BA71" s="761"/>
      <c r="BB71" s="761"/>
      <c r="BC71" s="761"/>
      <c r="BD71" s="761"/>
      <c r="BE71" s="761"/>
      <c r="BF71" s="763"/>
      <c r="BG71" s="761"/>
      <c r="BH71" s="761"/>
      <c r="BI71" s="761"/>
      <c r="BJ71" s="761"/>
      <c r="BK71" s="761"/>
      <c r="BL71" s="761"/>
      <c r="BM71" s="761"/>
      <c r="BN71" s="761"/>
      <c r="BO71" s="761"/>
      <c r="BP71" s="761"/>
      <c r="BQ71" s="761"/>
      <c r="BR71" s="761"/>
      <c r="BS71" s="761"/>
      <c r="BT71" s="761"/>
      <c r="BU71" s="761"/>
      <c r="BV71" s="761"/>
      <c r="BW71" s="761"/>
      <c r="BX71" s="761"/>
      <c r="BY71" s="761"/>
      <c r="BZ71" s="761"/>
      <c r="CA71" s="761"/>
      <c r="CB71" s="761"/>
      <c r="CC71" s="761"/>
      <c r="CD71" s="761"/>
      <c r="CE71" s="761"/>
    </row>
    <row r="72" spans="3:83" s="759" customFormat="1">
      <c r="C72" s="760"/>
      <c r="D72" s="762"/>
      <c r="E72" s="761"/>
      <c r="F72" s="761"/>
      <c r="G72" s="761"/>
      <c r="H72" s="761"/>
      <c r="I72" s="761"/>
      <c r="J72" s="761"/>
      <c r="K72" s="761"/>
      <c r="L72" s="761"/>
      <c r="M72" s="761"/>
      <c r="N72" s="761"/>
      <c r="O72" s="761"/>
      <c r="P72" s="761"/>
      <c r="Q72" s="761"/>
      <c r="R72" s="769"/>
      <c r="S72" s="769"/>
      <c r="T72" s="769"/>
      <c r="U72" s="769"/>
      <c r="V72" s="769"/>
      <c r="W72" s="769"/>
      <c r="X72" s="769"/>
      <c r="Y72" s="769"/>
      <c r="Z72" s="769"/>
      <c r="AA72" s="769"/>
      <c r="AB72" s="769"/>
      <c r="AC72" s="769"/>
      <c r="AD72" s="769"/>
      <c r="AE72" s="769"/>
      <c r="AF72" s="769"/>
      <c r="AG72" s="769"/>
      <c r="AH72" s="769"/>
      <c r="AI72" s="769"/>
      <c r="AJ72" s="769"/>
      <c r="AK72" s="769"/>
      <c r="AL72" s="769"/>
      <c r="AM72" s="769"/>
      <c r="AN72" s="769"/>
      <c r="AO72" s="769"/>
      <c r="AP72" s="769"/>
      <c r="AQ72" s="769"/>
      <c r="AR72" s="769"/>
      <c r="AS72" s="769"/>
      <c r="AT72" s="769"/>
      <c r="AU72" s="761"/>
      <c r="AV72" s="761"/>
      <c r="AW72" s="761"/>
      <c r="AX72" s="761"/>
      <c r="AY72" s="761"/>
      <c r="AZ72" s="761"/>
      <c r="BA72" s="761"/>
      <c r="BB72" s="761"/>
      <c r="BC72" s="761"/>
      <c r="BD72" s="761"/>
      <c r="BE72" s="761"/>
      <c r="BF72" s="761"/>
      <c r="BG72" s="763"/>
      <c r="BH72" s="761"/>
      <c r="BI72" s="761"/>
      <c r="BJ72" s="761"/>
      <c r="BK72" s="761"/>
      <c r="BL72" s="761"/>
      <c r="BM72" s="761"/>
      <c r="BN72" s="761"/>
      <c r="BO72" s="761"/>
      <c r="BP72" s="761"/>
      <c r="BQ72" s="761"/>
      <c r="BR72" s="761"/>
      <c r="BS72" s="761"/>
      <c r="BT72" s="761"/>
      <c r="BU72" s="761"/>
      <c r="BV72" s="761"/>
      <c r="BW72" s="761"/>
      <c r="BX72" s="761"/>
      <c r="BY72" s="761"/>
      <c r="BZ72" s="761"/>
      <c r="CA72" s="761"/>
      <c r="CB72" s="761"/>
      <c r="CC72" s="761"/>
      <c r="CD72" s="761"/>
      <c r="CE72" s="761"/>
    </row>
    <row r="73" spans="3:83" s="759" customFormat="1">
      <c r="C73" s="760"/>
      <c r="D73" s="762"/>
      <c r="E73" s="761"/>
      <c r="F73" s="761"/>
      <c r="G73" s="761"/>
      <c r="H73" s="761"/>
      <c r="I73" s="761"/>
      <c r="J73" s="761"/>
      <c r="K73" s="761"/>
      <c r="L73" s="761"/>
      <c r="M73" s="761"/>
      <c r="N73" s="761"/>
      <c r="O73" s="761"/>
      <c r="P73" s="761"/>
      <c r="Q73" s="761"/>
      <c r="R73" s="769"/>
      <c r="S73" s="769"/>
      <c r="T73" s="769"/>
      <c r="U73" s="769"/>
      <c r="V73" s="769"/>
      <c r="W73" s="769"/>
      <c r="X73" s="769"/>
      <c r="Y73" s="769"/>
      <c r="Z73" s="769"/>
      <c r="AA73" s="769"/>
      <c r="AB73" s="769"/>
      <c r="AC73" s="769"/>
      <c r="AD73" s="769"/>
      <c r="AE73" s="769"/>
      <c r="AF73" s="769"/>
      <c r="AG73" s="769"/>
      <c r="AH73" s="769"/>
      <c r="AI73" s="769"/>
      <c r="AJ73" s="769"/>
      <c r="AK73" s="769"/>
      <c r="AL73" s="769"/>
      <c r="AM73" s="769"/>
      <c r="AN73" s="769"/>
      <c r="AO73" s="769"/>
      <c r="AP73" s="769"/>
      <c r="AQ73" s="769"/>
      <c r="AR73" s="769"/>
      <c r="AS73" s="769"/>
      <c r="AT73" s="769"/>
      <c r="AU73" s="761"/>
      <c r="AV73" s="761"/>
      <c r="AW73" s="761"/>
      <c r="AX73" s="761"/>
      <c r="AY73" s="761"/>
      <c r="AZ73" s="761"/>
      <c r="BA73" s="761"/>
      <c r="BB73" s="761"/>
      <c r="BC73" s="761"/>
      <c r="BD73" s="761"/>
      <c r="BE73" s="761"/>
      <c r="BF73" s="761"/>
      <c r="BG73" s="761"/>
      <c r="BH73" s="763"/>
      <c r="BI73" s="761"/>
      <c r="BJ73" s="761"/>
      <c r="BK73" s="761"/>
      <c r="BL73" s="761"/>
      <c r="BM73" s="761"/>
      <c r="BN73" s="761"/>
      <c r="BO73" s="761"/>
      <c r="BP73" s="761"/>
      <c r="BQ73" s="761"/>
      <c r="BR73" s="761"/>
      <c r="BS73" s="761"/>
      <c r="BT73" s="761"/>
      <c r="BU73" s="761"/>
      <c r="BV73" s="761"/>
      <c r="BW73" s="761"/>
      <c r="BX73" s="761"/>
      <c r="BY73" s="761"/>
      <c r="BZ73" s="761"/>
      <c r="CA73" s="761"/>
      <c r="CB73" s="761"/>
      <c r="CC73" s="761"/>
      <c r="CD73" s="761"/>
      <c r="CE73" s="761"/>
    </row>
    <row r="74" spans="3:83" s="759" customFormat="1">
      <c r="C74" s="760"/>
      <c r="D74" s="762"/>
      <c r="E74" s="761"/>
      <c r="F74" s="761"/>
      <c r="G74" s="761"/>
      <c r="H74" s="761"/>
      <c r="I74" s="761"/>
      <c r="J74" s="761"/>
      <c r="K74" s="761"/>
      <c r="L74" s="761"/>
      <c r="M74" s="761"/>
      <c r="N74" s="761"/>
      <c r="O74" s="761"/>
      <c r="P74" s="761"/>
      <c r="Q74" s="761"/>
      <c r="R74" s="769"/>
      <c r="S74" s="769"/>
      <c r="T74" s="769"/>
      <c r="U74" s="769"/>
      <c r="V74" s="769"/>
      <c r="W74" s="769"/>
      <c r="X74" s="769"/>
      <c r="Y74" s="769"/>
      <c r="Z74" s="769"/>
      <c r="AA74" s="769"/>
      <c r="AB74" s="769"/>
      <c r="AC74" s="769"/>
      <c r="AD74" s="769"/>
      <c r="AE74" s="769"/>
      <c r="AF74" s="769"/>
      <c r="AG74" s="769"/>
      <c r="AH74" s="769"/>
      <c r="AI74" s="769"/>
      <c r="AJ74" s="769"/>
      <c r="AK74" s="769"/>
      <c r="AL74" s="769"/>
      <c r="AM74" s="769"/>
      <c r="AN74" s="769"/>
      <c r="AO74" s="769"/>
      <c r="AP74" s="769"/>
      <c r="AQ74" s="769"/>
      <c r="AR74" s="769"/>
      <c r="AS74" s="769"/>
      <c r="AT74" s="769"/>
      <c r="AU74" s="761"/>
      <c r="AV74" s="761"/>
      <c r="AW74" s="761"/>
      <c r="AX74" s="761"/>
      <c r="AY74" s="761"/>
      <c r="AZ74" s="761"/>
      <c r="BA74" s="761"/>
      <c r="BB74" s="761"/>
      <c r="BC74" s="761"/>
      <c r="BD74" s="761"/>
      <c r="BE74" s="761"/>
      <c r="BF74" s="761"/>
      <c r="BG74" s="761"/>
      <c r="BH74" s="761"/>
      <c r="BI74" s="763"/>
      <c r="BJ74" s="761"/>
      <c r="BK74" s="761"/>
      <c r="BL74" s="761"/>
      <c r="BM74" s="761"/>
      <c r="BN74" s="761"/>
      <c r="BO74" s="761"/>
      <c r="BP74" s="761"/>
      <c r="BQ74" s="761"/>
      <c r="BR74" s="761"/>
      <c r="BS74" s="761"/>
      <c r="BT74" s="761"/>
      <c r="BU74" s="761"/>
      <c r="BV74" s="761"/>
      <c r="BW74" s="761"/>
      <c r="BX74" s="761"/>
      <c r="BY74" s="761"/>
      <c r="BZ74" s="761"/>
      <c r="CA74" s="761"/>
      <c r="CB74" s="761"/>
      <c r="CC74" s="761"/>
      <c r="CD74" s="761"/>
      <c r="CE74" s="761"/>
    </row>
    <row r="75" spans="3:83" s="759" customFormat="1">
      <c r="C75" s="760"/>
      <c r="D75" s="762"/>
      <c r="E75" s="761"/>
      <c r="F75" s="761"/>
      <c r="G75" s="761"/>
      <c r="H75" s="761"/>
      <c r="I75" s="761"/>
      <c r="J75" s="761"/>
      <c r="K75" s="761"/>
      <c r="L75" s="761"/>
      <c r="M75" s="761"/>
      <c r="N75" s="761"/>
      <c r="O75" s="761"/>
      <c r="P75" s="761"/>
      <c r="Q75" s="761"/>
      <c r="R75" s="769"/>
      <c r="S75" s="769"/>
      <c r="T75" s="769"/>
      <c r="U75" s="769"/>
      <c r="V75" s="769"/>
      <c r="W75" s="769"/>
      <c r="X75" s="769"/>
      <c r="Y75" s="769"/>
      <c r="Z75" s="769"/>
      <c r="AA75" s="769"/>
      <c r="AB75" s="769"/>
      <c r="AC75" s="769"/>
      <c r="AD75" s="769"/>
      <c r="AE75" s="769"/>
      <c r="AF75" s="769"/>
      <c r="AG75" s="769"/>
      <c r="AH75" s="769"/>
      <c r="AI75" s="769"/>
      <c r="AJ75" s="769"/>
      <c r="AK75" s="769"/>
      <c r="AL75" s="769"/>
      <c r="AM75" s="769"/>
      <c r="AN75" s="769"/>
      <c r="AO75" s="769"/>
      <c r="AP75" s="769"/>
      <c r="AQ75" s="769"/>
      <c r="AR75" s="769"/>
      <c r="AS75" s="769"/>
      <c r="AT75" s="769"/>
      <c r="AU75" s="761"/>
      <c r="AV75" s="761"/>
      <c r="AW75" s="761"/>
      <c r="AX75" s="761"/>
      <c r="AY75" s="761"/>
      <c r="AZ75" s="761"/>
      <c r="BA75" s="761"/>
      <c r="BB75" s="761"/>
      <c r="BC75" s="761"/>
      <c r="BD75" s="761"/>
      <c r="BE75" s="761"/>
      <c r="BF75" s="761"/>
      <c r="BG75" s="761"/>
      <c r="BH75" s="761"/>
      <c r="BI75" s="761"/>
      <c r="BJ75" s="763"/>
      <c r="BK75" s="761"/>
      <c r="BL75" s="761"/>
      <c r="BM75" s="761"/>
      <c r="BN75" s="761"/>
      <c r="BO75" s="761"/>
      <c r="BP75" s="761"/>
      <c r="BQ75" s="761"/>
      <c r="BR75" s="761"/>
      <c r="BS75" s="761"/>
      <c r="BT75" s="761"/>
      <c r="BU75" s="761"/>
      <c r="BV75" s="761"/>
      <c r="BW75" s="761"/>
      <c r="BX75" s="761"/>
      <c r="BY75" s="761"/>
      <c r="BZ75" s="761"/>
      <c r="CA75" s="761"/>
      <c r="CB75" s="761"/>
      <c r="CC75" s="761"/>
      <c r="CD75" s="761"/>
      <c r="CE75" s="761"/>
    </row>
    <row r="76" spans="3:83" s="759" customFormat="1">
      <c r="C76" s="760"/>
      <c r="D76" s="762"/>
      <c r="E76" s="761"/>
      <c r="F76" s="761"/>
      <c r="G76" s="761"/>
      <c r="H76" s="761"/>
      <c r="I76" s="761"/>
      <c r="J76" s="761"/>
      <c r="K76" s="761"/>
      <c r="L76" s="761"/>
      <c r="M76" s="761"/>
      <c r="N76" s="761"/>
      <c r="O76" s="761"/>
      <c r="P76" s="761"/>
      <c r="Q76" s="761"/>
      <c r="R76" s="769"/>
      <c r="S76" s="769"/>
      <c r="T76" s="769"/>
      <c r="U76" s="769"/>
      <c r="V76" s="769"/>
      <c r="W76" s="769"/>
      <c r="X76" s="769"/>
      <c r="Y76" s="769"/>
      <c r="Z76" s="769"/>
      <c r="AA76" s="769"/>
      <c r="AB76" s="769"/>
      <c r="AC76" s="769"/>
      <c r="AD76" s="769"/>
      <c r="AE76" s="769"/>
      <c r="AF76" s="769"/>
      <c r="AG76" s="769"/>
      <c r="AH76" s="769"/>
      <c r="AI76" s="769"/>
      <c r="AJ76" s="769"/>
      <c r="AK76" s="769"/>
      <c r="AL76" s="769"/>
      <c r="AM76" s="769"/>
      <c r="AN76" s="769"/>
      <c r="AO76" s="769"/>
      <c r="AP76" s="769"/>
      <c r="AQ76" s="769"/>
      <c r="AR76" s="769"/>
      <c r="AS76" s="769"/>
      <c r="AT76" s="769"/>
      <c r="AU76" s="761"/>
      <c r="AV76" s="761"/>
      <c r="AW76" s="761"/>
      <c r="AX76" s="761"/>
      <c r="AY76" s="761"/>
      <c r="AZ76" s="761"/>
      <c r="BA76" s="761"/>
      <c r="BB76" s="761"/>
      <c r="BC76" s="761"/>
      <c r="BD76" s="761"/>
      <c r="BE76" s="761"/>
      <c r="BF76" s="761"/>
      <c r="BG76" s="761"/>
      <c r="BH76" s="761"/>
      <c r="BI76" s="761"/>
      <c r="BJ76" s="761"/>
      <c r="BK76" s="763"/>
      <c r="BL76" s="761"/>
      <c r="BM76" s="761"/>
      <c r="BN76" s="761"/>
      <c r="BO76" s="761"/>
      <c r="BP76" s="761"/>
      <c r="BQ76" s="761"/>
      <c r="BR76" s="761"/>
      <c r="BS76" s="761"/>
      <c r="BT76" s="761"/>
      <c r="BU76" s="761"/>
      <c r="BV76" s="761"/>
      <c r="BW76" s="761"/>
      <c r="BX76" s="761"/>
      <c r="BY76" s="761"/>
      <c r="BZ76" s="761"/>
      <c r="CA76" s="761"/>
      <c r="CB76" s="761"/>
      <c r="CC76" s="761"/>
      <c r="CD76" s="761"/>
      <c r="CE76" s="761"/>
    </row>
    <row r="77" spans="3:83" s="759" customFormat="1">
      <c r="C77" s="760"/>
      <c r="D77" s="762"/>
      <c r="E77" s="761"/>
      <c r="F77" s="761"/>
      <c r="G77" s="761"/>
      <c r="H77" s="761"/>
      <c r="I77" s="761"/>
      <c r="J77" s="761"/>
      <c r="K77" s="761"/>
      <c r="L77" s="761"/>
      <c r="M77" s="761"/>
      <c r="N77" s="761"/>
      <c r="O77" s="761"/>
      <c r="P77" s="761"/>
      <c r="Q77" s="761"/>
      <c r="R77" s="769"/>
      <c r="S77" s="769"/>
      <c r="T77" s="769"/>
      <c r="U77" s="769"/>
      <c r="V77" s="769"/>
      <c r="W77" s="769"/>
      <c r="X77" s="769"/>
      <c r="Y77" s="769"/>
      <c r="Z77" s="769"/>
      <c r="AA77" s="769"/>
      <c r="AB77" s="769"/>
      <c r="AC77" s="769"/>
      <c r="AD77" s="769"/>
      <c r="AE77" s="769"/>
      <c r="AF77" s="769"/>
      <c r="AG77" s="769"/>
      <c r="AH77" s="769"/>
      <c r="AI77" s="769"/>
      <c r="AJ77" s="769"/>
      <c r="AK77" s="769"/>
      <c r="AL77" s="769"/>
      <c r="AM77" s="769"/>
      <c r="AN77" s="769"/>
      <c r="AO77" s="769"/>
      <c r="AP77" s="769"/>
      <c r="AQ77" s="769"/>
      <c r="AR77" s="769"/>
      <c r="AS77" s="769"/>
      <c r="AT77" s="769"/>
      <c r="AU77" s="761"/>
      <c r="AV77" s="761"/>
      <c r="AW77" s="761"/>
      <c r="AX77" s="761"/>
      <c r="AY77" s="761"/>
      <c r="AZ77" s="761"/>
      <c r="BA77" s="761"/>
      <c r="BB77" s="761"/>
      <c r="BC77" s="761"/>
      <c r="BD77" s="761"/>
      <c r="BE77" s="761"/>
      <c r="BF77" s="761"/>
      <c r="BG77" s="761"/>
      <c r="BH77" s="761"/>
      <c r="BI77" s="761"/>
      <c r="BJ77" s="761"/>
      <c r="BK77" s="761"/>
      <c r="BL77" s="763"/>
      <c r="BM77" s="761"/>
      <c r="BN77" s="761"/>
      <c r="BO77" s="761"/>
      <c r="BP77" s="761"/>
      <c r="BQ77" s="761"/>
      <c r="BR77" s="761"/>
      <c r="BS77" s="761"/>
      <c r="BT77" s="761"/>
      <c r="BU77" s="761"/>
      <c r="BV77" s="761"/>
      <c r="BW77" s="761"/>
      <c r="BX77" s="761"/>
      <c r="BY77" s="761"/>
      <c r="BZ77" s="761"/>
      <c r="CA77" s="761"/>
      <c r="CB77" s="761"/>
      <c r="CC77" s="761"/>
      <c r="CD77" s="761"/>
      <c r="CE77" s="761"/>
    </row>
    <row r="78" spans="3:83" s="759" customFormat="1">
      <c r="C78" s="760"/>
      <c r="D78" s="762"/>
      <c r="E78" s="761"/>
      <c r="F78" s="761"/>
      <c r="G78" s="761"/>
      <c r="H78" s="761"/>
      <c r="I78" s="761"/>
      <c r="J78" s="761"/>
      <c r="K78" s="761"/>
      <c r="L78" s="761"/>
      <c r="M78" s="761"/>
      <c r="N78" s="761"/>
      <c r="O78" s="761"/>
      <c r="P78" s="761"/>
      <c r="Q78" s="761"/>
      <c r="R78" s="769"/>
      <c r="S78" s="769"/>
      <c r="T78" s="769"/>
      <c r="U78" s="769"/>
      <c r="V78" s="769"/>
      <c r="W78" s="769"/>
      <c r="X78" s="769"/>
      <c r="Y78" s="769"/>
      <c r="Z78" s="769"/>
      <c r="AA78" s="769"/>
      <c r="AB78" s="769"/>
      <c r="AC78" s="769"/>
      <c r="AD78" s="769"/>
      <c r="AE78" s="769"/>
      <c r="AF78" s="769"/>
      <c r="AG78" s="769"/>
      <c r="AH78" s="769"/>
      <c r="AI78" s="769"/>
      <c r="AJ78" s="769"/>
      <c r="AK78" s="769"/>
      <c r="AL78" s="769"/>
      <c r="AM78" s="769"/>
      <c r="AN78" s="769"/>
      <c r="AO78" s="769"/>
      <c r="AP78" s="769"/>
      <c r="AQ78" s="769"/>
      <c r="AR78" s="769"/>
      <c r="AS78" s="769"/>
      <c r="AT78" s="769"/>
      <c r="AU78" s="761"/>
      <c r="AV78" s="761"/>
      <c r="AW78" s="761"/>
      <c r="AX78" s="761"/>
      <c r="AY78" s="761"/>
      <c r="AZ78" s="761"/>
      <c r="BA78" s="761"/>
      <c r="BB78" s="761"/>
      <c r="BC78" s="761"/>
      <c r="BD78" s="761"/>
      <c r="BE78" s="761"/>
      <c r="BF78" s="761"/>
      <c r="BG78" s="761"/>
      <c r="BH78" s="761"/>
      <c r="BI78" s="761"/>
      <c r="BJ78" s="761"/>
      <c r="BK78" s="761"/>
      <c r="BL78" s="761"/>
      <c r="BM78" s="763"/>
      <c r="BN78" s="761"/>
      <c r="BO78" s="761"/>
      <c r="BP78" s="761"/>
      <c r="BQ78" s="761"/>
      <c r="BR78" s="761"/>
      <c r="BS78" s="761"/>
      <c r="BT78" s="761"/>
      <c r="BU78" s="761"/>
      <c r="BV78" s="761"/>
      <c r="BW78" s="761"/>
      <c r="BX78" s="761"/>
      <c r="BY78" s="761"/>
      <c r="BZ78" s="761"/>
      <c r="CA78" s="761"/>
      <c r="CB78" s="761"/>
      <c r="CC78" s="761"/>
      <c r="CD78" s="761"/>
      <c r="CE78" s="761"/>
    </row>
    <row r="79" spans="3:83" s="759" customFormat="1">
      <c r="C79" s="760"/>
      <c r="D79" s="762"/>
      <c r="E79" s="761"/>
      <c r="F79" s="761"/>
      <c r="G79" s="761"/>
      <c r="H79" s="761"/>
      <c r="I79" s="761"/>
      <c r="J79" s="761"/>
      <c r="K79" s="761"/>
      <c r="L79" s="761"/>
      <c r="M79" s="761"/>
      <c r="N79" s="761"/>
      <c r="O79" s="761"/>
      <c r="P79" s="761"/>
      <c r="Q79" s="761"/>
      <c r="R79" s="769"/>
      <c r="S79" s="769"/>
      <c r="T79" s="769"/>
      <c r="U79" s="769"/>
      <c r="V79" s="769"/>
      <c r="W79" s="769"/>
      <c r="X79" s="769"/>
      <c r="Y79" s="769"/>
      <c r="Z79" s="769"/>
      <c r="AA79" s="769"/>
      <c r="AB79" s="769"/>
      <c r="AC79" s="769"/>
      <c r="AD79" s="769"/>
      <c r="AE79" s="769"/>
      <c r="AF79" s="769"/>
      <c r="AG79" s="769"/>
      <c r="AH79" s="769"/>
      <c r="AI79" s="769"/>
      <c r="AJ79" s="769"/>
      <c r="AK79" s="769"/>
      <c r="AL79" s="769"/>
      <c r="AM79" s="769"/>
      <c r="AN79" s="769"/>
      <c r="AO79" s="769"/>
      <c r="AP79" s="769"/>
      <c r="AQ79" s="769"/>
      <c r="AR79" s="769"/>
      <c r="AS79" s="769"/>
      <c r="AT79" s="769"/>
      <c r="AU79" s="761"/>
      <c r="AV79" s="761"/>
      <c r="AW79" s="761"/>
      <c r="AX79" s="761"/>
      <c r="AY79" s="761"/>
      <c r="AZ79" s="761"/>
      <c r="BA79" s="761"/>
      <c r="BB79" s="761"/>
      <c r="BC79" s="761"/>
      <c r="BD79" s="761"/>
      <c r="BE79" s="761"/>
      <c r="BF79" s="761"/>
      <c r="BG79" s="761"/>
      <c r="BH79" s="761"/>
      <c r="BI79" s="761"/>
      <c r="BJ79" s="761"/>
      <c r="BK79" s="761"/>
      <c r="BL79" s="761"/>
      <c r="BM79" s="761"/>
      <c r="BN79" s="763"/>
      <c r="BO79" s="761"/>
      <c r="BP79" s="761"/>
      <c r="BQ79" s="761"/>
      <c r="BR79" s="761"/>
      <c r="BS79" s="761"/>
      <c r="BT79" s="761"/>
      <c r="BU79" s="761"/>
      <c r="BV79" s="761"/>
      <c r="BW79" s="761"/>
      <c r="BX79" s="761"/>
      <c r="BY79" s="761"/>
      <c r="BZ79" s="761"/>
      <c r="CA79" s="761"/>
      <c r="CB79" s="761"/>
      <c r="CC79" s="761"/>
      <c r="CD79" s="761"/>
      <c r="CE79" s="761"/>
    </row>
    <row r="80" spans="3:83" s="759" customFormat="1">
      <c r="C80" s="760"/>
      <c r="D80" s="762"/>
      <c r="E80" s="761"/>
      <c r="F80" s="761"/>
      <c r="G80" s="761"/>
      <c r="H80" s="761"/>
      <c r="I80" s="761"/>
      <c r="J80" s="761"/>
      <c r="K80" s="761"/>
      <c r="L80" s="761"/>
      <c r="M80" s="761"/>
      <c r="N80" s="761"/>
      <c r="O80" s="761"/>
      <c r="P80" s="761"/>
      <c r="Q80" s="761"/>
      <c r="R80" s="769"/>
      <c r="S80" s="769"/>
      <c r="T80" s="769"/>
      <c r="U80" s="769"/>
      <c r="V80" s="769"/>
      <c r="W80" s="769"/>
      <c r="X80" s="769"/>
      <c r="Y80" s="769"/>
      <c r="Z80" s="769"/>
      <c r="AA80" s="769"/>
      <c r="AB80" s="769"/>
      <c r="AC80" s="769"/>
      <c r="AD80" s="769"/>
      <c r="AE80" s="769"/>
      <c r="AF80" s="769"/>
      <c r="AG80" s="769"/>
      <c r="AH80" s="769"/>
      <c r="AI80" s="769"/>
      <c r="AJ80" s="769"/>
      <c r="AK80" s="769"/>
      <c r="AL80" s="769"/>
      <c r="AM80" s="769"/>
      <c r="AN80" s="769"/>
      <c r="AO80" s="769"/>
      <c r="AP80" s="769"/>
      <c r="AQ80" s="769"/>
      <c r="AR80" s="769"/>
      <c r="AS80" s="769"/>
      <c r="AT80" s="769"/>
      <c r="AU80" s="761"/>
      <c r="AV80" s="761"/>
      <c r="AW80" s="761"/>
      <c r="AX80" s="761"/>
      <c r="AY80" s="761"/>
      <c r="AZ80" s="761"/>
      <c r="BA80" s="761"/>
      <c r="BB80" s="761"/>
      <c r="BC80" s="761"/>
      <c r="BD80" s="761"/>
      <c r="BE80" s="761"/>
      <c r="BF80" s="761"/>
      <c r="BG80" s="761"/>
      <c r="BH80" s="761"/>
      <c r="BI80" s="761"/>
      <c r="BJ80" s="761"/>
      <c r="BK80" s="761"/>
      <c r="BL80" s="761"/>
      <c r="BM80" s="761"/>
      <c r="BN80" s="761"/>
      <c r="BO80" s="763"/>
      <c r="BP80" s="761"/>
      <c r="BQ80" s="761"/>
      <c r="BR80" s="761"/>
      <c r="BS80" s="761"/>
      <c r="BT80" s="761"/>
      <c r="BU80" s="761"/>
      <c r="BV80" s="761"/>
      <c r="BW80" s="761"/>
      <c r="BX80" s="761"/>
      <c r="BY80" s="761"/>
      <c r="BZ80" s="761"/>
      <c r="CA80" s="761"/>
      <c r="CB80" s="761"/>
      <c r="CC80" s="761"/>
      <c r="CD80" s="761"/>
      <c r="CE80" s="761"/>
    </row>
    <row r="81" spans="3:83" s="759" customFormat="1">
      <c r="C81" s="760"/>
      <c r="D81" s="762"/>
      <c r="E81" s="761"/>
      <c r="F81" s="761"/>
      <c r="G81" s="761"/>
      <c r="H81" s="761"/>
      <c r="I81" s="761"/>
      <c r="J81" s="761"/>
      <c r="K81" s="761"/>
      <c r="L81" s="761"/>
      <c r="M81" s="761"/>
      <c r="N81" s="761"/>
      <c r="O81" s="761"/>
      <c r="P81" s="761"/>
      <c r="Q81" s="761"/>
      <c r="R81" s="769"/>
      <c r="S81" s="769"/>
      <c r="T81" s="769"/>
      <c r="U81" s="769"/>
      <c r="V81" s="769"/>
      <c r="W81" s="769"/>
      <c r="X81" s="769"/>
      <c r="Y81" s="769"/>
      <c r="Z81" s="769"/>
      <c r="AA81" s="769"/>
      <c r="AB81" s="769"/>
      <c r="AC81" s="769"/>
      <c r="AD81" s="769"/>
      <c r="AE81" s="769"/>
      <c r="AF81" s="769"/>
      <c r="AG81" s="769"/>
      <c r="AH81" s="769"/>
      <c r="AI81" s="769"/>
      <c r="AJ81" s="769"/>
      <c r="AK81" s="769"/>
      <c r="AL81" s="769"/>
      <c r="AM81" s="769"/>
      <c r="AN81" s="769"/>
      <c r="AO81" s="769"/>
      <c r="AP81" s="769"/>
      <c r="AQ81" s="769"/>
      <c r="AR81" s="769"/>
      <c r="AS81" s="769"/>
      <c r="AT81" s="769"/>
      <c r="AU81" s="761"/>
      <c r="AV81" s="761"/>
      <c r="AW81" s="761"/>
      <c r="AX81" s="761"/>
      <c r="AY81" s="761"/>
      <c r="AZ81" s="761"/>
      <c r="BA81" s="761"/>
      <c r="BB81" s="761"/>
      <c r="BC81" s="761"/>
      <c r="BD81" s="761"/>
      <c r="BE81" s="761"/>
      <c r="BF81" s="761"/>
      <c r="BG81" s="761"/>
      <c r="BH81" s="761"/>
      <c r="BI81" s="761"/>
      <c r="BJ81" s="761"/>
      <c r="BK81" s="761"/>
      <c r="BL81" s="761"/>
      <c r="BM81" s="761"/>
      <c r="BN81" s="761"/>
      <c r="BO81" s="761"/>
      <c r="BP81" s="763"/>
      <c r="BQ81" s="761"/>
      <c r="BR81" s="761"/>
      <c r="BS81" s="761"/>
      <c r="BT81" s="761"/>
      <c r="BU81" s="761"/>
      <c r="BV81" s="761"/>
      <c r="BW81" s="761"/>
      <c r="BX81" s="761"/>
      <c r="BY81" s="761"/>
      <c r="BZ81" s="761"/>
      <c r="CA81" s="761"/>
      <c r="CB81" s="761"/>
      <c r="CC81" s="761"/>
      <c r="CD81" s="761"/>
      <c r="CE81" s="761"/>
    </row>
    <row r="82" spans="3:83" s="759" customFormat="1">
      <c r="C82" s="760"/>
      <c r="D82" s="762"/>
      <c r="E82" s="761"/>
      <c r="F82" s="761"/>
      <c r="G82" s="761"/>
      <c r="H82" s="761"/>
      <c r="I82" s="761"/>
      <c r="J82" s="761"/>
      <c r="K82" s="761"/>
      <c r="L82" s="761"/>
      <c r="M82" s="761"/>
      <c r="N82" s="761"/>
      <c r="O82" s="761"/>
      <c r="P82" s="761"/>
      <c r="Q82" s="761"/>
      <c r="R82" s="769"/>
      <c r="S82" s="769"/>
      <c r="T82" s="769"/>
      <c r="U82" s="769"/>
      <c r="V82" s="769"/>
      <c r="W82" s="769"/>
      <c r="X82" s="769"/>
      <c r="Y82" s="769"/>
      <c r="Z82" s="769"/>
      <c r="AA82" s="769"/>
      <c r="AB82" s="769"/>
      <c r="AC82" s="769"/>
      <c r="AD82" s="769"/>
      <c r="AE82" s="769"/>
      <c r="AF82" s="769"/>
      <c r="AG82" s="769"/>
      <c r="AH82" s="769"/>
      <c r="AI82" s="769"/>
      <c r="AJ82" s="769"/>
      <c r="AK82" s="769"/>
      <c r="AL82" s="769"/>
      <c r="AM82" s="769"/>
      <c r="AN82" s="769"/>
      <c r="AO82" s="769"/>
      <c r="AP82" s="769"/>
      <c r="AQ82" s="769"/>
      <c r="AR82" s="769"/>
      <c r="AS82" s="769"/>
      <c r="AT82" s="769"/>
      <c r="AU82" s="761"/>
      <c r="AV82" s="761"/>
      <c r="AW82" s="761"/>
      <c r="AX82" s="761"/>
      <c r="AY82" s="761"/>
      <c r="AZ82" s="761"/>
      <c r="BA82" s="761"/>
      <c r="BB82" s="761"/>
      <c r="BC82" s="761"/>
      <c r="BD82" s="761"/>
      <c r="BE82" s="761"/>
      <c r="BF82" s="761"/>
      <c r="BG82" s="761"/>
      <c r="BH82" s="761"/>
      <c r="BI82" s="761"/>
      <c r="BJ82" s="761"/>
      <c r="BK82" s="761"/>
      <c r="BL82" s="761"/>
      <c r="BM82" s="761"/>
      <c r="BN82" s="761"/>
      <c r="BO82" s="761"/>
      <c r="BP82" s="761"/>
      <c r="BQ82" s="763"/>
      <c r="BR82" s="761"/>
      <c r="BS82" s="761"/>
      <c r="BT82" s="761"/>
      <c r="BU82" s="761"/>
      <c r="BV82" s="761"/>
      <c r="BW82" s="761"/>
      <c r="BX82" s="761"/>
      <c r="BY82" s="761"/>
      <c r="BZ82" s="761"/>
      <c r="CA82" s="761"/>
      <c r="CB82" s="761"/>
      <c r="CC82" s="761"/>
      <c r="CD82" s="761"/>
      <c r="CE82" s="761"/>
    </row>
    <row r="83" spans="3:83" s="759" customFormat="1">
      <c r="C83" s="760"/>
      <c r="D83" s="762"/>
      <c r="E83" s="761"/>
      <c r="F83" s="761"/>
      <c r="G83" s="761"/>
      <c r="H83" s="761"/>
      <c r="I83" s="761"/>
      <c r="J83" s="761"/>
      <c r="K83" s="761"/>
      <c r="L83" s="761"/>
      <c r="M83" s="761"/>
      <c r="N83" s="761"/>
      <c r="O83" s="761"/>
      <c r="P83" s="761"/>
      <c r="Q83" s="761"/>
      <c r="R83" s="769"/>
      <c r="S83" s="769"/>
      <c r="T83" s="769"/>
      <c r="U83" s="769"/>
      <c r="V83" s="769"/>
      <c r="W83" s="769"/>
      <c r="X83" s="769"/>
      <c r="Y83" s="769"/>
      <c r="Z83" s="769"/>
      <c r="AA83" s="769"/>
      <c r="AB83" s="769"/>
      <c r="AC83" s="769"/>
      <c r="AD83" s="769"/>
      <c r="AE83" s="769"/>
      <c r="AF83" s="769"/>
      <c r="AG83" s="769"/>
      <c r="AH83" s="769"/>
      <c r="AI83" s="769"/>
      <c r="AJ83" s="769"/>
      <c r="AK83" s="769"/>
      <c r="AL83" s="769"/>
      <c r="AM83" s="769"/>
      <c r="AN83" s="769"/>
      <c r="AO83" s="769"/>
      <c r="AP83" s="769"/>
      <c r="AQ83" s="769"/>
      <c r="AR83" s="769"/>
      <c r="AS83" s="769"/>
      <c r="AT83" s="769"/>
      <c r="AU83" s="761"/>
      <c r="AV83" s="761"/>
      <c r="AW83" s="761"/>
      <c r="AX83" s="761"/>
      <c r="AY83" s="761"/>
      <c r="AZ83" s="761"/>
      <c r="BA83" s="761"/>
      <c r="BB83" s="761"/>
      <c r="BC83" s="761"/>
      <c r="BD83" s="761"/>
      <c r="BE83" s="761"/>
      <c r="BF83" s="761"/>
      <c r="BG83" s="761"/>
      <c r="BH83" s="761"/>
      <c r="BI83" s="761"/>
      <c r="BJ83" s="761"/>
      <c r="BK83" s="761"/>
      <c r="BL83" s="761"/>
      <c r="BM83" s="761"/>
      <c r="BN83" s="761"/>
      <c r="BO83" s="761"/>
      <c r="BP83" s="761"/>
      <c r="BQ83" s="761"/>
      <c r="BR83" s="763"/>
      <c r="BS83" s="761"/>
      <c r="BT83" s="761"/>
      <c r="BU83" s="761"/>
      <c r="BV83" s="761"/>
      <c r="BW83" s="761"/>
      <c r="BX83" s="761"/>
      <c r="BY83" s="761"/>
      <c r="BZ83" s="761"/>
      <c r="CA83" s="761"/>
      <c r="CB83" s="761"/>
      <c r="CC83" s="761"/>
      <c r="CD83" s="761"/>
      <c r="CE83" s="761"/>
    </row>
    <row r="84" spans="3:83" s="759" customFormat="1">
      <c r="C84" s="760"/>
      <c r="D84" s="762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9"/>
      <c r="S84" s="769"/>
      <c r="T84" s="769"/>
      <c r="U84" s="769"/>
      <c r="V84" s="769"/>
      <c r="W84" s="769"/>
      <c r="X84" s="769"/>
      <c r="Y84" s="769"/>
      <c r="Z84" s="769"/>
      <c r="AA84" s="769"/>
      <c r="AB84" s="769"/>
      <c r="AC84" s="769"/>
      <c r="AD84" s="769"/>
      <c r="AE84" s="769"/>
      <c r="AF84" s="769"/>
      <c r="AG84" s="769"/>
      <c r="AH84" s="769"/>
      <c r="AI84" s="769"/>
      <c r="AJ84" s="769"/>
      <c r="AK84" s="769"/>
      <c r="AL84" s="769"/>
      <c r="AM84" s="769"/>
      <c r="AN84" s="769"/>
      <c r="AO84" s="769"/>
      <c r="AP84" s="769"/>
      <c r="AQ84" s="769"/>
      <c r="AR84" s="769"/>
      <c r="AS84" s="769"/>
      <c r="AT84" s="769"/>
      <c r="AU84" s="761"/>
      <c r="AV84" s="761"/>
      <c r="AW84" s="761"/>
      <c r="AX84" s="761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3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</row>
    <row r="85" spans="3:83" s="759" customFormat="1">
      <c r="C85" s="760"/>
      <c r="D85" s="762"/>
      <c r="E85" s="761"/>
      <c r="F85" s="761"/>
      <c r="G85" s="761"/>
      <c r="H85" s="761"/>
      <c r="I85" s="761"/>
      <c r="J85" s="761"/>
      <c r="K85" s="761"/>
      <c r="L85" s="761"/>
      <c r="M85" s="761"/>
      <c r="N85" s="761"/>
      <c r="O85" s="761"/>
      <c r="P85" s="761"/>
      <c r="Q85" s="761"/>
      <c r="R85" s="769"/>
      <c r="S85" s="769"/>
      <c r="T85" s="769"/>
      <c r="U85" s="769"/>
      <c r="V85" s="769"/>
      <c r="W85" s="769"/>
      <c r="X85" s="769"/>
      <c r="Y85" s="769"/>
      <c r="Z85" s="769"/>
      <c r="AA85" s="769"/>
      <c r="AB85" s="769"/>
      <c r="AC85" s="769"/>
      <c r="AD85" s="769"/>
      <c r="AE85" s="769"/>
      <c r="AF85" s="769"/>
      <c r="AG85" s="769"/>
      <c r="AH85" s="769"/>
      <c r="AI85" s="769"/>
      <c r="AJ85" s="769"/>
      <c r="AK85" s="769"/>
      <c r="AL85" s="769"/>
      <c r="AM85" s="769"/>
      <c r="AN85" s="769"/>
      <c r="AO85" s="769"/>
      <c r="AP85" s="769"/>
      <c r="AQ85" s="769"/>
      <c r="AR85" s="769"/>
      <c r="AS85" s="769"/>
      <c r="AT85" s="769"/>
      <c r="AU85" s="761"/>
      <c r="AV85" s="761"/>
      <c r="AW85" s="761"/>
      <c r="AX85" s="761"/>
      <c r="AY85" s="761"/>
      <c r="AZ85" s="761"/>
      <c r="BA85" s="761"/>
      <c r="BB85" s="761"/>
      <c r="BC85" s="761"/>
      <c r="BD85" s="761"/>
      <c r="BE85" s="761"/>
      <c r="BF85" s="761"/>
      <c r="BG85" s="761"/>
      <c r="BH85" s="761"/>
      <c r="BI85" s="761"/>
      <c r="BJ85" s="761"/>
      <c r="BK85" s="761"/>
      <c r="BL85" s="761"/>
      <c r="BM85" s="761"/>
      <c r="BN85" s="761"/>
      <c r="BO85" s="761"/>
      <c r="BP85" s="761"/>
      <c r="BQ85" s="761"/>
      <c r="BR85" s="761"/>
      <c r="BS85" s="761"/>
      <c r="BT85" s="763"/>
      <c r="BU85" s="761"/>
      <c r="BV85" s="761"/>
      <c r="BW85" s="761"/>
      <c r="BX85" s="761"/>
      <c r="BY85" s="761"/>
      <c r="BZ85" s="761"/>
      <c r="CA85" s="761"/>
      <c r="CB85" s="761"/>
      <c r="CC85" s="761"/>
      <c r="CD85" s="761"/>
      <c r="CE85" s="761"/>
    </row>
    <row r="86" spans="3:83" s="759" customFormat="1">
      <c r="C86" s="760"/>
      <c r="D86" s="762"/>
      <c r="E86" s="761"/>
      <c r="F86" s="761"/>
      <c r="G86" s="761"/>
      <c r="H86" s="761"/>
      <c r="I86" s="761"/>
      <c r="J86" s="761"/>
      <c r="K86" s="761"/>
      <c r="L86" s="761"/>
      <c r="M86" s="761"/>
      <c r="N86" s="761"/>
      <c r="O86" s="761"/>
      <c r="P86" s="761"/>
      <c r="Q86" s="761"/>
      <c r="R86" s="769"/>
      <c r="S86" s="769"/>
      <c r="T86" s="769"/>
      <c r="U86" s="769"/>
      <c r="V86" s="769"/>
      <c r="W86" s="769"/>
      <c r="X86" s="769"/>
      <c r="Y86" s="769"/>
      <c r="Z86" s="769"/>
      <c r="AA86" s="769"/>
      <c r="AB86" s="769"/>
      <c r="AC86" s="769"/>
      <c r="AD86" s="769"/>
      <c r="AE86" s="769"/>
      <c r="AF86" s="769"/>
      <c r="AG86" s="769"/>
      <c r="AH86" s="769"/>
      <c r="AI86" s="769"/>
      <c r="AJ86" s="769"/>
      <c r="AK86" s="769"/>
      <c r="AL86" s="769"/>
      <c r="AM86" s="769"/>
      <c r="AN86" s="769"/>
      <c r="AO86" s="769"/>
      <c r="AP86" s="769"/>
      <c r="AQ86" s="769"/>
      <c r="AR86" s="769"/>
      <c r="AS86" s="769"/>
      <c r="AT86" s="769"/>
      <c r="AU86" s="761"/>
      <c r="AV86" s="761"/>
      <c r="AW86" s="761"/>
      <c r="AX86" s="761"/>
      <c r="AY86" s="761"/>
      <c r="AZ86" s="761"/>
      <c r="BA86" s="761"/>
      <c r="BB86" s="761"/>
      <c r="BC86" s="761"/>
      <c r="BD86" s="761"/>
      <c r="BE86" s="761"/>
      <c r="BF86" s="761"/>
      <c r="BG86" s="761"/>
      <c r="BH86" s="761"/>
      <c r="BI86" s="761"/>
      <c r="BJ86" s="761"/>
      <c r="BK86" s="761"/>
      <c r="BL86" s="761"/>
      <c r="BM86" s="761"/>
      <c r="BN86" s="761"/>
      <c r="BO86" s="761"/>
      <c r="BP86" s="761"/>
      <c r="BQ86" s="761"/>
      <c r="BR86" s="761"/>
      <c r="BS86" s="761"/>
      <c r="BT86" s="761"/>
      <c r="BU86" s="763"/>
      <c r="BV86" s="761"/>
      <c r="BW86" s="761"/>
      <c r="BX86" s="761"/>
      <c r="BY86" s="761"/>
      <c r="BZ86" s="761"/>
      <c r="CA86" s="761"/>
      <c r="CB86" s="761"/>
      <c r="CC86" s="761"/>
      <c r="CD86" s="761"/>
      <c r="CE86" s="761"/>
    </row>
    <row r="87" spans="3:83" s="759" customFormat="1">
      <c r="C87" s="760"/>
      <c r="D87" s="762"/>
      <c r="E87" s="761"/>
      <c r="F87" s="761"/>
      <c r="G87" s="761"/>
      <c r="H87" s="761"/>
      <c r="I87" s="761"/>
      <c r="J87" s="761"/>
      <c r="K87" s="761"/>
      <c r="L87" s="761"/>
      <c r="M87" s="761"/>
      <c r="N87" s="761"/>
      <c r="O87" s="761"/>
      <c r="P87" s="761"/>
      <c r="Q87" s="761"/>
      <c r="R87" s="769"/>
      <c r="S87" s="769"/>
      <c r="T87" s="769"/>
      <c r="U87" s="769"/>
      <c r="V87" s="769"/>
      <c r="W87" s="769"/>
      <c r="X87" s="769"/>
      <c r="Y87" s="769"/>
      <c r="Z87" s="769"/>
      <c r="AA87" s="769"/>
      <c r="AB87" s="769"/>
      <c r="AC87" s="769"/>
      <c r="AD87" s="769"/>
      <c r="AE87" s="769"/>
      <c r="AF87" s="769"/>
      <c r="AG87" s="769"/>
      <c r="AH87" s="769"/>
      <c r="AI87" s="769"/>
      <c r="AJ87" s="769"/>
      <c r="AK87" s="769"/>
      <c r="AL87" s="769"/>
      <c r="AM87" s="769"/>
      <c r="AN87" s="769"/>
      <c r="AO87" s="769"/>
      <c r="AP87" s="769"/>
      <c r="AQ87" s="769"/>
      <c r="AR87" s="769"/>
      <c r="AS87" s="769"/>
      <c r="AT87" s="769"/>
      <c r="AU87" s="761"/>
      <c r="AV87" s="761"/>
      <c r="AW87" s="761"/>
      <c r="AX87" s="761"/>
      <c r="AY87" s="761"/>
      <c r="AZ87" s="761"/>
      <c r="BA87" s="761"/>
      <c r="BB87" s="761"/>
      <c r="BC87" s="761"/>
      <c r="BD87" s="761"/>
      <c r="BE87" s="761"/>
      <c r="BF87" s="761"/>
      <c r="BG87" s="761"/>
      <c r="BH87" s="761"/>
      <c r="BI87" s="761"/>
      <c r="BJ87" s="761"/>
      <c r="BK87" s="761"/>
      <c r="BL87" s="761"/>
      <c r="BM87" s="761"/>
      <c r="BN87" s="761"/>
      <c r="BO87" s="761"/>
      <c r="BP87" s="761"/>
      <c r="BQ87" s="761"/>
      <c r="BR87" s="761"/>
      <c r="BS87" s="761"/>
      <c r="BT87" s="761"/>
      <c r="BU87" s="761"/>
      <c r="BV87" s="763"/>
      <c r="BW87" s="761"/>
      <c r="BX87" s="761"/>
      <c r="BY87" s="761"/>
      <c r="BZ87" s="761"/>
      <c r="CA87" s="761"/>
      <c r="CB87" s="761"/>
      <c r="CC87" s="761"/>
      <c r="CD87" s="761"/>
      <c r="CE87" s="761"/>
    </row>
    <row r="88" spans="3:83" s="759" customFormat="1">
      <c r="C88" s="760"/>
      <c r="D88" s="762"/>
      <c r="E88" s="761"/>
      <c r="F88" s="761"/>
      <c r="G88" s="761"/>
      <c r="H88" s="761"/>
      <c r="I88" s="761"/>
      <c r="J88" s="761"/>
      <c r="K88" s="761"/>
      <c r="L88" s="761"/>
      <c r="M88" s="761"/>
      <c r="N88" s="761"/>
      <c r="O88" s="761"/>
      <c r="P88" s="761"/>
      <c r="Q88" s="761"/>
      <c r="R88" s="769"/>
      <c r="S88" s="769"/>
      <c r="T88" s="769"/>
      <c r="U88" s="769"/>
      <c r="V88" s="769"/>
      <c r="W88" s="769"/>
      <c r="X88" s="769"/>
      <c r="Y88" s="769"/>
      <c r="Z88" s="769"/>
      <c r="AA88" s="769"/>
      <c r="AB88" s="769"/>
      <c r="AC88" s="769"/>
      <c r="AD88" s="769"/>
      <c r="AE88" s="769"/>
      <c r="AF88" s="769"/>
      <c r="AG88" s="769"/>
      <c r="AH88" s="769"/>
      <c r="AI88" s="769"/>
      <c r="AJ88" s="769"/>
      <c r="AK88" s="769"/>
      <c r="AL88" s="769"/>
      <c r="AM88" s="769"/>
      <c r="AN88" s="769"/>
      <c r="AO88" s="769"/>
      <c r="AP88" s="769"/>
      <c r="AQ88" s="769"/>
      <c r="AR88" s="769"/>
      <c r="AS88" s="769"/>
      <c r="AT88" s="769"/>
      <c r="AU88" s="761"/>
      <c r="AV88" s="761"/>
      <c r="AW88" s="761"/>
      <c r="AX88" s="761"/>
      <c r="AY88" s="761"/>
      <c r="AZ88" s="761"/>
      <c r="BA88" s="761"/>
      <c r="BB88" s="761"/>
      <c r="BC88" s="761"/>
      <c r="BD88" s="761"/>
      <c r="BE88" s="761"/>
      <c r="BF88" s="761"/>
      <c r="BG88" s="761"/>
      <c r="BH88" s="761"/>
      <c r="BI88" s="761"/>
      <c r="BJ88" s="761"/>
      <c r="BK88" s="761"/>
      <c r="BL88" s="761"/>
      <c r="BM88" s="761"/>
      <c r="BN88" s="761"/>
      <c r="BO88" s="761"/>
      <c r="BP88" s="761"/>
      <c r="BQ88" s="761"/>
      <c r="BR88" s="761"/>
      <c r="BS88" s="761"/>
      <c r="BT88" s="761"/>
      <c r="BU88" s="761"/>
      <c r="BV88" s="761"/>
      <c r="BW88" s="763"/>
      <c r="BX88" s="761"/>
      <c r="BY88" s="761"/>
      <c r="BZ88" s="761"/>
      <c r="CA88" s="761"/>
      <c r="CB88" s="761"/>
      <c r="CC88" s="761"/>
      <c r="CD88" s="761"/>
      <c r="CE88" s="761"/>
    </row>
    <row r="89" spans="3:83" s="759" customFormat="1">
      <c r="C89" s="760"/>
      <c r="D89" s="762"/>
      <c r="E89" s="761"/>
      <c r="F89" s="761"/>
      <c r="G89" s="761"/>
      <c r="H89" s="761"/>
      <c r="I89" s="761"/>
      <c r="J89" s="761"/>
      <c r="K89" s="761"/>
      <c r="L89" s="761"/>
      <c r="M89" s="761"/>
      <c r="N89" s="761"/>
      <c r="O89" s="761"/>
      <c r="P89" s="761"/>
      <c r="Q89" s="761"/>
      <c r="R89" s="769"/>
      <c r="S89" s="769"/>
      <c r="T89" s="769"/>
      <c r="U89" s="769"/>
      <c r="V89" s="769"/>
      <c r="W89" s="769"/>
      <c r="X89" s="769"/>
      <c r="Y89" s="769"/>
      <c r="Z89" s="769"/>
      <c r="AA89" s="769"/>
      <c r="AB89" s="769"/>
      <c r="AC89" s="769"/>
      <c r="AD89" s="769"/>
      <c r="AE89" s="769"/>
      <c r="AF89" s="769"/>
      <c r="AG89" s="769"/>
      <c r="AH89" s="769"/>
      <c r="AI89" s="769"/>
      <c r="AJ89" s="769"/>
      <c r="AK89" s="769"/>
      <c r="AL89" s="769"/>
      <c r="AM89" s="769"/>
      <c r="AN89" s="769"/>
      <c r="AO89" s="769"/>
      <c r="AP89" s="769"/>
      <c r="AQ89" s="769"/>
      <c r="AR89" s="769"/>
      <c r="AS89" s="769"/>
      <c r="AT89" s="769"/>
      <c r="AU89" s="761"/>
      <c r="AV89" s="761"/>
      <c r="AW89" s="761"/>
      <c r="AX89" s="761"/>
      <c r="AY89" s="761"/>
      <c r="AZ89" s="761"/>
      <c r="BA89" s="761"/>
      <c r="BB89" s="761"/>
      <c r="BC89" s="761"/>
      <c r="BD89" s="761"/>
      <c r="BE89" s="761"/>
      <c r="BF89" s="761"/>
      <c r="BG89" s="761"/>
      <c r="BH89" s="761"/>
      <c r="BI89" s="761"/>
      <c r="BJ89" s="761"/>
      <c r="BK89" s="761"/>
      <c r="BL89" s="761"/>
      <c r="BM89" s="761"/>
      <c r="BN89" s="761"/>
      <c r="BO89" s="761"/>
      <c r="BP89" s="761"/>
      <c r="BQ89" s="761"/>
      <c r="BR89" s="761"/>
      <c r="BS89" s="761"/>
      <c r="BT89" s="761"/>
      <c r="BU89" s="761"/>
      <c r="BV89" s="761"/>
      <c r="BW89" s="761"/>
      <c r="BX89" s="763"/>
      <c r="BY89" s="761"/>
      <c r="BZ89" s="761"/>
      <c r="CA89" s="761"/>
      <c r="CB89" s="761"/>
      <c r="CC89" s="761"/>
      <c r="CD89" s="761"/>
      <c r="CE89" s="761"/>
    </row>
    <row r="90" spans="3:83" s="759" customFormat="1">
      <c r="C90" s="760"/>
      <c r="D90" s="762"/>
      <c r="E90" s="761"/>
      <c r="F90" s="761"/>
      <c r="G90" s="761"/>
      <c r="H90" s="761"/>
      <c r="I90" s="761"/>
      <c r="J90" s="761"/>
      <c r="K90" s="761"/>
      <c r="L90" s="761"/>
      <c r="M90" s="761"/>
      <c r="N90" s="761"/>
      <c r="O90" s="761"/>
      <c r="P90" s="761"/>
      <c r="Q90" s="761"/>
      <c r="R90" s="769"/>
      <c r="S90" s="769"/>
      <c r="T90" s="769"/>
      <c r="U90" s="769"/>
      <c r="V90" s="769"/>
      <c r="W90" s="769"/>
      <c r="X90" s="769"/>
      <c r="Y90" s="769"/>
      <c r="Z90" s="769"/>
      <c r="AA90" s="769"/>
      <c r="AB90" s="769"/>
      <c r="AC90" s="769"/>
      <c r="AD90" s="769"/>
      <c r="AE90" s="769"/>
      <c r="AF90" s="769"/>
      <c r="AG90" s="769"/>
      <c r="AH90" s="769"/>
      <c r="AI90" s="769"/>
      <c r="AJ90" s="769"/>
      <c r="AK90" s="769"/>
      <c r="AL90" s="769"/>
      <c r="AM90" s="769"/>
      <c r="AN90" s="769"/>
      <c r="AO90" s="769"/>
      <c r="AP90" s="769"/>
      <c r="AQ90" s="769"/>
      <c r="AR90" s="769"/>
      <c r="AS90" s="769"/>
      <c r="AT90" s="769"/>
      <c r="AU90" s="761"/>
      <c r="AV90" s="761"/>
      <c r="AW90" s="761"/>
      <c r="AX90" s="761"/>
      <c r="AY90" s="761"/>
      <c r="AZ90" s="761"/>
      <c r="BA90" s="761"/>
      <c r="BB90" s="761"/>
      <c r="BC90" s="761"/>
      <c r="BD90" s="761"/>
      <c r="BE90" s="761"/>
      <c r="BF90" s="761"/>
      <c r="BG90" s="761"/>
      <c r="BH90" s="761"/>
      <c r="BI90" s="761"/>
      <c r="BJ90" s="761"/>
      <c r="BK90" s="761"/>
      <c r="BL90" s="761"/>
      <c r="BM90" s="761"/>
      <c r="BN90" s="761"/>
      <c r="BO90" s="761"/>
      <c r="BP90" s="761"/>
      <c r="BQ90" s="761"/>
      <c r="BR90" s="761"/>
      <c r="BS90" s="761"/>
      <c r="BT90" s="761"/>
      <c r="BU90" s="761"/>
      <c r="BV90" s="761"/>
      <c r="BW90" s="761"/>
      <c r="BX90" s="761"/>
      <c r="BY90" s="763"/>
      <c r="BZ90" s="761"/>
      <c r="CA90" s="761"/>
      <c r="CB90" s="761"/>
      <c r="CC90" s="761"/>
      <c r="CD90" s="761"/>
      <c r="CE90" s="761"/>
    </row>
    <row r="91" spans="3:83" s="759" customFormat="1">
      <c r="C91" s="760"/>
      <c r="D91" s="762"/>
      <c r="E91" s="761"/>
      <c r="F91" s="761"/>
      <c r="G91" s="761"/>
      <c r="H91" s="761"/>
      <c r="I91" s="761"/>
      <c r="J91" s="761"/>
      <c r="K91" s="761"/>
      <c r="L91" s="761"/>
      <c r="M91" s="761"/>
      <c r="N91" s="761"/>
      <c r="O91" s="761"/>
      <c r="P91" s="761"/>
      <c r="Q91" s="761"/>
      <c r="R91" s="769"/>
      <c r="S91" s="769"/>
      <c r="T91" s="769"/>
      <c r="U91" s="769"/>
      <c r="V91" s="769"/>
      <c r="W91" s="769"/>
      <c r="X91" s="769"/>
      <c r="Y91" s="769"/>
      <c r="Z91" s="769"/>
      <c r="AA91" s="769"/>
      <c r="AB91" s="769"/>
      <c r="AC91" s="769"/>
      <c r="AD91" s="769"/>
      <c r="AE91" s="769"/>
      <c r="AF91" s="769"/>
      <c r="AG91" s="769"/>
      <c r="AH91" s="769"/>
      <c r="AI91" s="769"/>
      <c r="AJ91" s="769"/>
      <c r="AK91" s="769"/>
      <c r="AL91" s="769"/>
      <c r="AM91" s="769"/>
      <c r="AN91" s="769"/>
      <c r="AO91" s="769"/>
      <c r="AP91" s="769"/>
      <c r="AQ91" s="769"/>
      <c r="AR91" s="769"/>
      <c r="AS91" s="769"/>
      <c r="AT91" s="769"/>
      <c r="AU91" s="761"/>
      <c r="AV91" s="761"/>
      <c r="AW91" s="761"/>
      <c r="AX91" s="761"/>
      <c r="AY91" s="761"/>
      <c r="AZ91" s="761"/>
      <c r="BA91" s="761"/>
      <c r="BB91" s="761"/>
      <c r="BC91" s="761"/>
      <c r="BD91" s="761"/>
      <c r="BE91" s="761"/>
      <c r="BF91" s="761"/>
      <c r="BG91" s="761"/>
      <c r="BH91" s="761"/>
      <c r="BI91" s="761"/>
      <c r="BJ91" s="761"/>
      <c r="BK91" s="761"/>
      <c r="BL91" s="761"/>
      <c r="BM91" s="761"/>
      <c r="BN91" s="761"/>
      <c r="BO91" s="761"/>
      <c r="BP91" s="761"/>
      <c r="BQ91" s="761"/>
      <c r="BR91" s="761"/>
      <c r="BS91" s="761"/>
      <c r="BT91" s="761"/>
      <c r="BU91" s="761"/>
      <c r="BV91" s="761"/>
      <c r="BW91" s="761"/>
      <c r="BX91" s="761"/>
      <c r="BY91" s="761"/>
      <c r="BZ91" s="763"/>
      <c r="CA91" s="761"/>
      <c r="CB91" s="761"/>
      <c r="CC91" s="761"/>
      <c r="CD91" s="761"/>
      <c r="CE91" s="761"/>
    </row>
    <row r="92" spans="3:83" s="759" customFormat="1">
      <c r="C92" s="760"/>
      <c r="D92" s="762"/>
      <c r="E92" s="761"/>
      <c r="F92" s="761"/>
      <c r="G92" s="761"/>
      <c r="H92" s="761"/>
      <c r="I92" s="761"/>
      <c r="J92" s="761"/>
      <c r="K92" s="761"/>
      <c r="L92" s="761"/>
      <c r="M92" s="761"/>
      <c r="N92" s="761"/>
      <c r="O92" s="761"/>
      <c r="P92" s="761"/>
      <c r="Q92" s="761"/>
      <c r="R92" s="769"/>
      <c r="S92" s="769"/>
      <c r="T92" s="769"/>
      <c r="U92" s="769"/>
      <c r="V92" s="769"/>
      <c r="W92" s="769"/>
      <c r="X92" s="769"/>
      <c r="Y92" s="769"/>
      <c r="Z92" s="769"/>
      <c r="AA92" s="769"/>
      <c r="AB92" s="769"/>
      <c r="AC92" s="769"/>
      <c r="AD92" s="769"/>
      <c r="AE92" s="769"/>
      <c r="AF92" s="769"/>
      <c r="AG92" s="769"/>
      <c r="AH92" s="769"/>
      <c r="AI92" s="769"/>
      <c r="AJ92" s="769"/>
      <c r="AK92" s="769"/>
      <c r="AL92" s="769"/>
      <c r="AM92" s="769"/>
      <c r="AN92" s="769"/>
      <c r="AO92" s="769"/>
      <c r="AP92" s="769"/>
      <c r="AQ92" s="769"/>
      <c r="AR92" s="769"/>
      <c r="AS92" s="769"/>
      <c r="AT92" s="769"/>
      <c r="AU92" s="761"/>
      <c r="AV92" s="761"/>
      <c r="AW92" s="761"/>
      <c r="AX92" s="761"/>
      <c r="AY92" s="761"/>
      <c r="AZ92" s="761"/>
      <c r="BA92" s="761"/>
      <c r="BB92" s="761"/>
      <c r="BC92" s="761"/>
      <c r="BD92" s="761"/>
      <c r="BE92" s="761"/>
      <c r="BF92" s="761"/>
      <c r="BG92" s="761"/>
      <c r="BH92" s="761"/>
      <c r="BI92" s="761"/>
      <c r="BJ92" s="761"/>
      <c r="BK92" s="761"/>
      <c r="BL92" s="761"/>
      <c r="BM92" s="761"/>
      <c r="BN92" s="761"/>
      <c r="BO92" s="761"/>
      <c r="BP92" s="761"/>
      <c r="BQ92" s="761"/>
      <c r="BR92" s="761"/>
      <c r="BS92" s="761"/>
      <c r="BT92" s="761"/>
      <c r="BU92" s="761"/>
      <c r="BV92" s="761"/>
      <c r="BW92" s="761"/>
      <c r="BX92" s="761"/>
      <c r="BY92" s="761"/>
      <c r="BZ92" s="761"/>
      <c r="CA92" s="763"/>
      <c r="CB92" s="761"/>
      <c r="CC92" s="761"/>
      <c r="CD92" s="761"/>
      <c r="CE92" s="761"/>
    </row>
    <row r="93" spans="3:83" s="759" customFormat="1">
      <c r="C93" s="760"/>
      <c r="D93" s="762"/>
      <c r="E93" s="761"/>
      <c r="F93" s="761"/>
      <c r="G93" s="761"/>
      <c r="H93" s="761"/>
      <c r="I93" s="761"/>
      <c r="J93" s="761"/>
      <c r="K93" s="761"/>
      <c r="L93" s="761"/>
      <c r="M93" s="761"/>
      <c r="N93" s="761"/>
      <c r="O93" s="761"/>
      <c r="P93" s="761"/>
      <c r="Q93" s="761"/>
      <c r="R93" s="769"/>
      <c r="S93" s="769"/>
      <c r="T93" s="769"/>
      <c r="U93" s="769"/>
      <c r="V93" s="769"/>
      <c r="W93" s="769"/>
      <c r="X93" s="769"/>
      <c r="Y93" s="769"/>
      <c r="Z93" s="769"/>
      <c r="AA93" s="769"/>
      <c r="AB93" s="769"/>
      <c r="AC93" s="769"/>
      <c r="AD93" s="769"/>
      <c r="AE93" s="769"/>
      <c r="AF93" s="769"/>
      <c r="AG93" s="769"/>
      <c r="AH93" s="769"/>
      <c r="AI93" s="769"/>
      <c r="AJ93" s="769"/>
      <c r="AK93" s="769"/>
      <c r="AL93" s="769"/>
      <c r="AM93" s="769"/>
      <c r="AN93" s="769"/>
      <c r="AO93" s="769"/>
      <c r="AP93" s="769"/>
      <c r="AQ93" s="769"/>
      <c r="AR93" s="769"/>
      <c r="AS93" s="769"/>
      <c r="AT93" s="769"/>
      <c r="AU93" s="761"/>
      <c r="AV93" s="761"/>
      <c r="AW93" s="761"/>
      <c r="AX93" s="761"/>
      <c r="AY93" s="761"/>
      <c r="AZ93" s="761"/>
      <c r="BA93" s="761"/>
      <c r="BB93" s="761"/>
      <c r="BC93" s="761"/>
      <c r="BD93" s="761"/>
      <c r="BE93" s="761"/>
      <c r="BF93" s="761"/>
      <c r="BG93" s="761"/>
      <c r="BH93" s="761"/>
      <c r="BI93" s="761"/>
      <c r="BJ93" s="761"/>
      <c r="BK93" s="761"/>
      <c r="BL93" s="761"/>
      <c r="BM93" s="761"/>
      <c r="BN93" s="761"/>
      <c r="BO93" s="761"/>
      <c r="BP93" s="761"/>
      <c r="BQ93" s="761"/>
      <c r="BR93" s="761"/>
      <c r="BS93" s="761"/>
      <c r="BT93" s="761"/>
      <c r="BU93" s="761"/>
      <c r="BV93" s="761"/>
      <c r="BW93" s="761"/>
      <c r="BX93" s="761"/>
      <c r="BY93" s="761"/>
      <c r="BZ93" s="761"/>
      <c r="CA93" s="761"/>
      <c r="CB93" s="763"/>
      <c r="CC93" s="761"/>
      <c r="CD93" s="761"/>
      <c r="CE93" s="761"/>
    </row>
    <row r="94" spans="3:83" s="759" customFormat="1">
      <c r="C94" s="760"/>
      <c r="D94" s="762"/>
      <c r="E94" s="761"/>
      <c r="F94" s="761"/>
      <c r="G94" s="761"/>
      <c r="H94" s="761"/>
      <c r="I94" s="761"/>
      <c r="J94" s="761"/>
      <c r="K94" s="761"/>
      <c r="L94" s="761"/>
      <c r="M94" s="761"/>
      <c r="N94" s="761"/>
      <c r="O94" s="761"/>
      <c r="P94" s="761"/>
      <c r="Q94" s="761"/>
      <c r="R94" s="769"/>
      <c r="S94" s="769"/>
      <c r="T94" s="769"/>
      <c r="U94" s="769"/>
      <c r="V94" s="769"/>
      <c r="W94" s="769"/>
      <c r="X94" s="769"/>
      <c r="Y94" s="769"/>
      <c r="Z94" s="769"/>
      <c r="AA94" s="769"/>
      <c r="AB94" s="769"/>
      <c r="AC94" s="769"/>
      <c r="AD94" s="769"/>
      <c r="AE94" s="769"/>
      <c r="AF94" s="769"/>
      <c r="AG94" s="769"/>
      <c r="AH94" s="769"/>
      <c r="AI94" s="769"/>
      <c r="AJ94" s="769"/>
      <c r="AK94" s="769"/>
      <c r="AL94" s="769"/>
      <c r="AM94" s="769"/>
      <c r="AN94" s="769"/>
      <c r="AO94" s="769"/>
      <c r="AP94" s="769"/>
      <c r="AQ94" s="769"/>
      <c r="AR94" s="769"/>
      <c r="AS94" s="769"/>
      <c r="AT94" s="769"/>
      <c r="AU94" s="761"/>
      <c r="AV94" s="761"/>
      <c r="AW94" s="761"/>
      <c r="AX94" s="761"/>
      <c r="AY94" s="761"/>
      <c r="AZ94" s="761"/>
      <c r="BA94" s="761"/>
      <c r="BB94" s="761"/>
      <c r="BC94" s="761"/>
      <c r="BD94" s="761"/>
      <c r="BE94" s="761"/>
      <c r="BF94" s="761"/>
      <c r="BG94" s="761"/>
      <c r="BH94" s="761"/>
      <c r="BI94" s="761"/>
      <c r="BJ94" s="761"/>
      <c r="BK94" s="761"/>
      <c r="BL94" s="761"/>
      <c r="BM94" s="761"/>
      <c r="BN94" s="761"/>
      <c r="BO94" s="761"/>
      <c r="BP94" s="761"/>
      <c r="BQ94" s="761"/>
      <c r="BR94" s="761"/>
      <c r="BS94" s="761"/>
      <c r="BT94" s="761"/>
      <c r="BU94" s="761"/>
      <c r="BV94" s="761"/>
      <c r="BW94" s="761"/>
      <c r="BX94" s="761"/>
      <c r="BY94" s="761"/>
      <c r="BZ94" s="761"/>
      <c r="CA94" s="761"/>
      <c r="CB94" s="761"/>
      <c r="CC94" s="763"/>
      <c r="CD94" s="761"/>
      <c r="CE94" s="761"/>
    </row>
    <row r="95" spans="3:83" s="759" customFormat="1">
      <c r="C95" s="760"/>
      <c r="D95" s="762"/>
      <c r="E95" s="761"/>
      <c r="F95" s="761"/>
      <c r="G95" s="761"/>
      <c r="H95" s="761"/>
      <c r="I95" s="761"/>
      <c r="J95" s="761"/>
      <c r="K95" s="761"/>
      <c r="L95" s="761"/>
      <c r="M95" s="761"/>
      <c r="N95" s="761"/>
      <c r="O95" s="761"/>
      <c r="P95" s="761"/>
      <c r="Q95" s="761"/>
      <c r="R95" s="769"/>
      <c r="S95" s="769"/>
      <c r="T95" s="769"/>
      <c r="U95" s="769"/>
      <c r="V95" s="769"/>
      <c r="W95" s="769"/>
      <c r="X95" s="769"/>
      <c r="Y95" s="769"/>
      <c r="Z95" s="769"/>
      <c r="AA95" s="769"/>
      <c r="AB95" s="769"/>
      <c r="AC95" s="769"/>
      <c r="AD95" s="769"/>
      <c r="AE95" s="769"/>
      <c r="AF95" s="769"/>
      <c r="AG95" s="769"/>
      <c r="AH95" s="769"/>
      <c r="AI95" s="769"/>
      <c r="AJ95" s="769"/>
      <c r="AK95" s="769"/>
      <c r="AL95" s="769"/>
      <c r="AM95" s="769"/>
      <c r="AN95" s="769"/>
      <c r="AO95" s="769"/>
      <c r="AP95" s="769"/>
      <c r="AQ95" s="769"/>
      <c r="AR95" s="769"/>
      <c r="AS95" s="769"/>
      <c r="AT95" s="769"/>
      <c r="AU95" s="761"/>
      <c r="AV95" s="761"/>
      <c r="AW95" s="761"/>
      <c r="AX95" s="761"/>
      <c r="AY95" s="761"/>
      <c r="AZ95" s="761"/>
      <c r="BA95" s="761"/>
      <c r="BB95" s="761"/>
      <c r="BC95" s="761"/>
      <c r="BD95" s="761"/>
      <c r="BE95" s="761"/>
      <c r="BF95" s="761"/>
      <c r="BG95" s="761"/>
      <c r="BH95" s="761"/>
      <c r="BI95" s="761"/>
      <c r="BJ95" s="761"/>
      <c r="BK95" s="761"/>
      <c r="BL95" s="761"/>
      <c r="BM95" s="761"/>
      <c r="BN95" s="761"/>
      <c r="BO95" s="761"/>
      <c r="BP95" s="761"/>
      <c r="BQ95" s="761"/>
      <c r="BR95" s="761"/>
      <c r="BS95" s="761"/>
      <c r="BT95" s="761"/>
      <c r="BU95" s="761"/>
      <c r="BV95" s="761"/>
      <c r="BW95" s="761"/>
      <c r="BX95" s="761"/>
      <c r="BY95" s="761"/>
      <c r="BZ95" s="761"/>
      <c r="CA95" s="761"/>
      <c r="CB95" s="761"/>
      <c r="CC95" s="761"/>
      <c r="CD95" s="763"/>
      <c r="CE95" s="761"/>
    </row>
    <row r="96" spans="3:83" s="759" customFormat="1">
      <c r="C96" s="760"/>
      <c r="D96" s="762"/>
      <c r="E96" s="761"/>
      <c r="F96" s="761"/>
      <c r="G96" s="761"/>
      <c r="H96" s="761"/>
      <c r="I96" s="761"/>
      <c r="J96" s="761"/>
      <c r="K96" s="761"/>
      <c r="L96" s="761"/>
      <c r="M96" s="761"/>
      <c r="N96" s="761"/>
      <c r="O96" s="761"/>
      <c r="P96" s="761"/>
      <c r="Q96" s="761"/>
      <c r="R96" s="769"/>
      <c r="S96" s="769"/>
      <c r="T96" s="769"/>
      <c r="U96" s="769"/>
      <c r="V96" s="769"/>
      <c r="W96" s="769"/>
      <c r="X96" s="769"/>
      <c r="Y96" s="769"/>
      <c r="Z96" s="769"/>
      <c r="AA96" s="769"/>
      <c r="AB96" s="769"/>
      <c r="AC96" s="769"/>
      <c r="AD96" s="769"/>
      <c r="AE96" s="769"/>
      <c r="AF96" s="769"/>
      <c r="AG96" s="769"/>
      <c r="AH96" s="769"/>
      <c r="AI96" s="769"/>
      <c r="AJ96" s="769"/>
      <c r="AK96" s="769"/>
      <c r="AL96" s="769"/>
      <c r="AM96" s="769"/>
      <c r="AN96" s="769"/>
      <c r="AO96" s="769"/>
      <c r="AP96" s="769"/>
      <c r="AQ96" s="769"/>
      <c r="AR96" s="769"/>
      <c r="AS96" s="769"/>
      <c r="AT96" s="769"/>
      <c r="AU96" s="761"/>
      <c r="AV96" s="761"/>
      <c r="AW96" s="761"/>
      <c r="AX96" s="761"/>
      <c r="AY96" s="761"/>
      <c r="AZ96" s="761"/>
      <c r="BA96" s="761"/>
      <c r="BB96" s="761"/>
      <c r="BC96" s="761"/>
      <c r="BD96" s="761"/>
      <c r="BE96" s="761"/>
      <c r="BF96" s="761"/>
      <c r="BG96" s="761"/>
      <c r="BH96" s="761"/>
      <c r="BI96" s="761"/>
      <c r="BJ96" s="761"/>
      <c r="BK96" s="761"/>
      <c r="BL96" s="761"/>
      <c r="BM96" s="761"/>
      <c r="BN96" s="761"/>
      <c r="BO96" s="761"/>
      <c r="BP96" s="761"/>
      <c r="BQ96" s="761"/>
      <c r="BR96" s="761"/>
      <c r="BS96" s="761"/>
      <c r="BT96" s="761"/>
      <c r="BU96" s="761"/>
      <c r="BV96" s="761"/>
      <c r="BW96" s="761"/>
      <c r="BX96" s="761"/>
      <c r="BY96" s="761"/>
      <c r="BZ96" s="761"/>
      <c r="CA96" s="761"/>
      <c r="CB96" s="761"/>
      <c r="CC96" s="761"/>
      <c r="CD96" s="761"/>
      <c r="CE96" s="763"/>
    </row>
  </sheetData>
  <dataConsolidate/>
  <mergeCells count="28">
    <mergeCell ref="E45:G45"/>
    <mergeCell ref="E46:G46"/>
    <mergeCell ref="E47:G47"/>
    <mergeCell ref="E40:G40"/>
    <mergeCell ref="E41:G41"/>
    <mergeCell ref="E42:G42"/>
    <mergeCell ref="E43:G43"/>
    <mergeCell ref="E44:G44"/>
    <mergeCell ref="E35:G35"/>
    <mergeCell ref="E36:G36"/>
    <mergeCell ref="E37:G37"/>
    <mergeCell ref="E38:G38"/>
    <mergeCell ref="E39:G39"/>
    <mergeCell ref="E30:G30"/>
    <mergeCell ref="E31:G31"/>
    <mergeCell ref="E32:G32"/>
    <mergeCell ref="E33:G33"/>
    <mergeCell ref="E34:G34"/>
    <mergeCell ref="E25:G25"/>
    <mergeCell ref="E26:G26"/>
    <mergeCell ref="E27:G27"/>
    <mergeCell ref="E28:G28"/>
    <mergeCell ref="E29:G29"/>
    <mergeCell ref="H9:I9"/>
    <mergeCell ref="H10:I10"/>
    <mergeCell ref="H11:I11"/>
    <mergeCell ref="E23:G23"/>
    <mergeCell ref="E24:G24"/>
  </mergeCells>
  <phoneticPr fontId="33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676"/>
  <sheetViews>
    <sheetView showGridLines="0" tabSelected="1" zoomScaleNormal="100" workbookViewId="0">
      <pane xSplit="14" ySplit="10" topLeftCell="Q50" activePane="bottomRight" state="frozen"/>
      <selection activeCell="D1" sqref="D1"/>
      <selection pane="topRight" activeCell="O1" sqref="O1"/>
      <selection pane="bottomLeft" activeCell="D11" sqref="D11"/>
      <selection pane="bottomRight" activeCell="V61" sqref="V61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4" width="12" style="1" hidden="1" customWidth="1" outlineLevel="1"/>
    <col min="25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1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1.140625" style="1" bestFit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85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694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84" ht="16.5" thickBot="1">
      <c r="D1" s="3" t="s">
        <v>22</v>
      </c>
      <c r="E1" s="894">
        <f>AD49-AD45</f>
        <v>1.9873980265737706E-3</v>
      </c>
      <c r="F1" s="319">
        <f>VLOOKUP(Isin!$E$15,$E:$AD,COLUMN($AD:$AD)-4,FALSE)-VLOOKUP(Isin!$B12,$E:$AD,COLUMN($AD:$AD)-4,FALSE)</f>
        <v>2.2556130002186064E-4</v>
      </c>
      <c r="G1" s="299">
        <f>VLOOKUP(Isin!$B$56,$E:$AD,COLUMN($AD:$AD)-4,FALSE)-VLOOKUP(Isin!B53,$E:$AD,COLUMN($AD:$AD)-4,FALSE)</f>
        <v>1.1859794985650297E-3</v>
      </c>
      <c r="H1" s="305">
        <f>VLOOKUP(Isin!B$43,E:AD,COLUMN(AD:AD)-4,FALSE)-VLOOKUP(Isin!B40,E:AD,COLUMN(AD:AD)-4,FALSE)</f>
        <v>2.0246040974839577E-3</v>
      </c>
      <c r="Q1" s="343">
        <f>VLOOKUP(Isin!$B$52,$E:$AD,COLUMN($AD:$AD)-4,FALSE)-VLOOKUP(Isin!B47,$E:$AD,COLUMN($AD:$AD)-4,FALSE)</f>
        <v>2.706885444770284E-3</v>
      </c>
      <c r="S1" s="341">
        <f>VLOOKUP(Isin!$B$53,$E:$AD,COLUMN($AD:$AD)-4,FALSE)-VLOOKUP(Isin!$B49,$E:$AD,COLUMN($AD:$AD)-4,FALSE)</f>
        <v>2.4950012873521457E-3</v>
      </c>
      <c r="T1" s="389">
        <f>VLOOKUP(Isin!$B$54,$E:$AD,COLUMN($AD:$AD)-4,FALSE)-VLOOKUP(Isin!$B49,$E:$AD,COLUMN($AD:$AD)-4,FALSE)</f>
        <v>2.8187915228331251E-3</v>
      </c>
      <c r="U1" s="998">
        <f>VLOOKUP(Isin!$B$41,$E:$AD,COLUMN($AD:$AD)-4,FALSE)-VLOOKUP(Isin!$B38,$E:$AD,COLUMN($AD:$AD)-4,FALSE)</f>
        <v>2.0187022104463624E-3</v>
      </c>
      <c r="V1" s="999">
        <f>VLOOKUP(Isin!$B$41,$E:$AD,COLUMN($AD:$AD)-4,FALSE)-VLOOKUP(Isin!$B40,$E:$AD,COLUMN($AD:$AD)-4,FALSE)</f>
        <v>6.196790371653868E-4</v>
      </c>
      <c r="W1" s="295">
        <f>VLOOKUP(Isin!$B$46,$E:$AD,COLUMN($AD:$AD)-4,FALSE)-VLOOKUP(Isin!$B43,$E:$AD,COLUMN($AD:$AD)-4,FALSE)</f>
        <v>1.4627740934813338E-3</v>
      </c>
      <c r="AD1" s="31" t="s">
        <v>293</v>
      </c>
      <c r="AL1" s="1" t="s">
        <v>292</v>
      </c>
      <c r="AQ1" s="1" t="s">
        <v>291</v>
      </c>
      <c r="AR1" s="254" t="s">
        <v>1835</v>
      </c>
      <c r="AS1" s="253">
        <f>AD4</f>
        <v>111.88249999999999</v>
      </c>
      <c r="AT1" s="134" t="e">
        <f>AS1*'DB Basis'!#REF!</f>
        <v>#REF!</v>
      </c>
      <c r="AU1" s="1015" t="s">
        <v>2078</v>
      </c>
      <c r="AV1" s="1014"/>
    </row>
    <row r="2" spans="1:84" ht="16.5" thickBot="1">
      <c r="D2" s="251" t="s">
        <v>566</v>
      </c>
      <c r="E2" s="365">
        <f>AD49-AD46</f>
        <v>1.92867956759382E-3</v>
      </c>
      <c r="F2" s="220">
        <f>VLOOKUP(Isin!$E$26,$E:$AD,COLUMN($AD:$AD)-4,FALSE)-VLOOKUP(Isin!$B32,$E:$AD,COLUMN($AD:$AD)-4,FALSE)</f>
        <v>-3.7821787860007477E-3</v>
      </c>
      <c r="G2" s="300">
        <f>VLOOKUP(Isin!$B$56,$E:$AD,COLUMN($AD:$AD)-4,FALSE)-VLOOKUP(Isin!B54,$E:$AD,COLUMN($AD:$AD)-4,FALSE)</f>
        <v>8.6218926308405039E-4</v>
      </c>
      <c r="H2" s="302">
        <f>VLOOKUP(Isin!B$43,E:AD,COLUMN(AD:AD)-4,FALSE)-VLOOKUP(Isin!B41,E:AD,COLUMN(AD:AD)-4,FALSE)</f>
        <v>1.4049250603185709E-3</v>
      </c>
      <c r="Q2" s="344">
        <f>VLOOKUP(Isin!$B$52,$E:$AD,COLUMN($AD:$AD)-4,FALSE)-VLOOKUP(Isin!B48,$E:$AD,COLUMN($AD:$AD)-4,FALSE)</f>
        <v>1.5296668138120549E-3</v>
      </c>
      <c r="S2" s="341">
        <f>VLOOKUP(Isin!$B$53,$E:$AD,COLUMN($AD:$AD)-4,FALSE)-VLOOKUP(Isin!$B50,$E:$AD,COLUMN($AD:$AD)-4,FALSE)</f>
        <v>1.5869001726725625E-3</v>
      </c>
      <c r="T2" s="390">
        <f>VLOOKUP(Isin!$B$54,$E:$AD,COLUMN($AD:$AD)-4,FALSE)-VLOOKUP(Isin!$B51,$E:$AD,COLUMN($AD:$AD)-4,FALSE)</f>
        <v>1.6864593853207904E-3</v>
      </c>
      <c r="U2" s="999">
        <f>VLOOKUP(Isin!$B$42,$E:$AD,COLUMN($AD:$AD)-4,FALSE)-VLOOKUP(Isin!$B41,$E:$AD,COLUMN($AD:$AD)-4,FALSE)</f>
        <v>7.0225338403928639E-4</v>
      </c>
      <c r="V2" s="999">
        <f>VLOOKUP(Isin!$B$44,$E:$AD,COLUMN($AD:$AD)-4,FALSE)-VLOOKUP(Isin!$B41,$E:$AD,COLUMN($AD:$AD)-4,FALSE)</f>
        <v>1.4685887269667228E-3</v>
      </c>
      <c r="W2" s="997">
        <f>VLOOKUP(Isin!$B$46,$E:$AD,COLUMN($AD:$AD)-4,FALSE)-VLOOKUP(Isin!$B44,$E:$AD,COLUMN($AD:$AD)-4,FALSE)</f>
        <v>1.3991104268331819E-3</v>
      </c>
      <c r="AN2" s="1007">
        <f>AD59</f>
        <v>1.3362438811812885E-2</v>
      </c>
      <c r="AO2" s="393">
        <v>70</v>
      </c>
      <c r="AP2" s="642">
        <f>AO2*AN2/100</f>
        <v>9.3537071682690195E-3</v>
      </c>
      <c r="AQ2" s="1"/>
      <c r="AR2" s="254" t="s">
        <v>1807</v>
      </c>
      <c r="AS2" s="253">
        <f>AK4</f>
        <v>130.655</v>
      </c>
      <c r="AT2" s="134" t="e">
        <f>AS2*'DB Basis'!#REF!</f>
        <v>#REF!</v>
      </c>
    </row>
    <row r="3" spans="1:84" ht="17.25" customHeight="1">
      <c r="D3" s="3" t="s">
        <v>20</v>
      </c>
      <c r="E3" s="365">
        <f>AD49-AD47</f>
        <v>1.6002029076278134E-3</v>
      </c>
      <c r="F3" s="319">
        <f>VLOOKUP(Isin!$E$31,$E:$AD,COLUMN($AD:$AD)-4,FALSE)-VLOOKUP(Isin!$B43,$E:$AD,COLUMN($AD:$AD)-4,FALSE)</f>
        <v>-6.1606390982552398E-3</v>
      </c>
      <c r="G3" s="299">
        <f>VLOOKUP(Isin!$B$56,$E:$AD,COLUMN($AD:$AD)-4,FALSE)-VLOOKUP(Isin!B55,$E:$AD,COLUMN($AD:$AD)-4,FALSE)</f>
        <v>1.0557487026596028E-3</v>
      </c>
      <c r="H3" s="305">
        <f>VLOOKUP(Isin!B$43,E:AD,COLUMN(AD:AD)-4,FALSE)-VLOOKUP(Isin!B42,E:AD,COLUMN(AD:AD)-4,FALSE)</f>
        <v>7.0267167627928451E-4</v>
      </c>
      <c r="Q3" s="343">
        <f>VLOOKUP(Isin!$B$52,$E:$AD,COLUMN($AD:$AD)-4,FALSE)-VLOOKUP(Isin!B49,$E:$AD,COLUMN($AD:$AD)-4,FALSE)</f>
        <v>1.4394374832455391E-3</v>
      </c>
      <c r="S3" s="341">
        <f>VLOOKUP(Isin!$B$53,$E:$AD,COLUMN($AD:$AD)-4,FALSE)-VLOOKUP(Isin!$B51,$E:$AD,COLUMN($AD:$AD)-4,FALSE)</f>
        <v>1.3626691498398111E-3</v>
      </c>
      <c r="T3" s="380">
        <f>VLOOKUP(Isin!$B$54,$E:$AD,COLUMN($AD:$AD)-4,FALSE)-VLOOKUP(Isin!$B52,$E:$AD,COLUMN($AD:$AD)-4,FALSE)</f>
        <v>1.379354039587586E-3</v>
      </c>
      <c r="U3" s="3" t="s">
        <v>55</v>
      </c>
      <c r="V3" s="3" t="s">
        <v>57</v>
      </c>
      <c r="W3" s="997">
        <f>VLOOKUP(Isin!$B$46,$E:$AD,COLUMN($AD:$AD)-4,FALSE)-VLOOKUP(Isin!$B45,$E:$AD,COLUMN($AD:$AD)-4,FALSE)</f>
        <v>1.077930515709126E-3</v>
      </c>
      <c r="AD3" s="46" t="s">
        <v>82</v>
      </c>
      <c r="AK3" s="46" t="s">
        <v>79</v>
      </c>
      <c r="AL3" s="46" t="s">
        <v>84</v>
      </c>
      <c r="AM3" s="265"/>
      <c r="AN3" s="1008">
        <f>AD65</f>
        <v>1.6788938503937759E-2</v>
      </c>
      <c r="AO3" s="395">
        <v>200</v>
      </c>
      <c r="AP3" s="1001">
        <f t="shared" ref="AP3:AP4" si="0">AO3*AN3/100</f>
        <v>3.3577877007875519E-2</v>
      </c>
      <c r="AQ3" s="1012"/>
      <c r="AR3" s="392" t="s">
        <v>1827</v>
      </c>
      <c r="AS3" s="253">
        <f>AL4</f>
        <v>158.11500000000001</v>
      </c>
      <c r="AT3" s="134" t="e">
        <f>AS3*'DB Basis'!#REF!</f>
        <v>#REF!</v>
      </c>
    </row>
    <row r="4" spans="1:84" ht="16.5" thickBot="1">
      <c r="D4" s="259">
        <f>Today</f>
        <v>43175</v>
      </c>
      <c r="E4" s="365">
        <f>AD49-AD48</f>
        <v>1.211208237977995E-3</v>
      </c>
      <c r="F4" s="220">
        <f>VLOOKUP(Isin!$E$39,$E:$AD,COLUMN($AD:$AD)-4,FALSE)-VLOOKUP(Isin!$B54,$E:$AD,COLUMN($AD:$AD)-4,FALSE)</f>
        <v>-5.9150695127599996E-3</v>
      </c>
      <c r="G4" s="300">
        <f>VLOOKUP(Isin!$B$57,$E:$AD,COLUMN($AD:$AD)-4,FALSE)-VLOOKUP(Isin!B56,$E:$AD,COLUMN($AD:$AD)-4,FALSE)</f>
        <v>6.7143771285959122E-4</v>
      </c>
      <c r="H4" s="305">
        <f>VLOOKUP(Isin!B$44,E:AD,COLUMN(AD:AD)-4,FALSE)-VLOOKUP(Isin!B43,E:AD,COLUMN(AD:AD)-4,FALSE)</f>
        <v>6.3663666648151873E-5</v>
      </c>
      <c r="O4" s="1" t="s">
        <v>801</v>
      </c>
      <c r="Q4" s="344">
        <f>VLOOKUP(Isin!$B$52,$E:$AD,COLUMN($AD:$AD)-4,FALSE)-VLOOKUP(Isin!B50,$E:$AD,COLUMN($AD:$AD)-4,FALSE)</f>
        <v>5.3133636856595584E-4</v>
      </c>
      <c r="S4" s="342">
        <f>VLOOKUP(Isin!$B$53,$E:$AD,COLUMN($AD:$AD)-4,FALSE)-VLOOKUP(Isin!$B52,$E:$AD,COLUMN($AD:$AD)-4,FALSE)</f>
        <v>1.0555638041066066E-3</v>
      </c>
      <c r="T4" s="381">
        <f>VLOOKUP(Isin!$B$54,$E:$AD,COLUMN($AD:$AD)-4,FALSE)-VLOOKUP(Isin!$B53,$E:$AD,COLUMN($AD:$AD)-4,FALSE)</f>
        <v>3.2379023548097935E-4</v>
      </c>
      <c r="U4" s="2" t="s">
        <v>58</v>
      </c>
      <c r="V4" s="4" t="s">
        <v>56</v>
      </c>
      <c r="W4" s="997">
        <f>VLOOKUP(Isin!$B$47,$E:$AD,COLUMN($AD:$AD)-4,FALSE)-VLOOKUP(Isin!$B46,$E:$AD,COLUMN($AD:$AD)-4,FALSE)</f>
        <v>-1.4815981091263579E-4</v>
      </c>
      <c r="AD4" s="45">
        <f>AVERAGE(_xll.RtGet("IDN_SELECTFEED","FGBS"&amp;$D$6,"BID"),_xll.RtGet("IDN_SELECTFEED",AR1,"ASK"))</f>
        <v>111.88249999999999</v>
      </c>
      <c r="AK4" s="45">
        <f>AVERAGE(_xll.RtGet("IDN_SELECTFEED","FGBM"&amp;$D$6,"BID"),_xll.RtGet("IDN_SELECTFEED",AR2,"ASK"))</f>
        <v>130.655</v>
      </c>
      <c r="AL4" s="45">
        <f>AVERAGE(_xll.RtGet("IDN_SELECTFEED","FGBL"&amp;$D$6,"BID"),_xll.RtGet("IDN_SELECTFEED",AR3,"ASK"))</f>
        <v>158.11500000000001</v>
      </c>
      <c r="AM4" s="265"/>
      <c r="AN4" s="1009">
        <f>AD68</f>
        <v>1.8375838676610322E-2</v>
      </c>
      <c r="AO4" s="1010">
        <v>130</v>
      </c>
      <c r="AP4" s="1011">
        <f t="shared" si="0"/>
        <v>2.3888590279593419E-2</v>
      </c>
      <c r="AQ4" s="1013">
        <f>(AP3-AP2-AP4)*100*100</f>
        <v>3.3557956001308007</v>
      </c>
      <c r="AR4" s="392" t="s">
        <v>1974</v>
      </c>
      <c r="AS4" s="253">
        <f>AVERAGE(_xll.RtGet("IDN_SELECTFEED","FBTS"&amp;$D$6,"BID"),_xll.RtGet("IDN_SELECTFEED","FBTSM8","ASK"))</f>
        <v>112.375</v>
      </c>
      <c r="AT4" s="134" t="e">
        <f>AS4*'DB Basis'!#REF!</f>
        <v>#REF!</v>
      </c>
    </row>
    <row r="5" spans="1:84" ht="16.5" thickBot="1">
      <c r="D5" s="260" t="str">
        <f>_xll.BDP("IK"&amp;D6&amp;" Comdty","FUT_DLV_DT_LAST")</f>
        <v>6/11/2018</v>
      </c>
      <c r="E5" s="919">
        <f>AD49-AD50</f>
        <v>1.1438985643942752E-4</v>
      </c>
      <c r="F5" s="319">
        <f>VLOOKUP(Isin!$E$44,$E:$AD,COLUMN($AD:$AD)-4,FALSE)-VLOOKUP(Isin!$B63,$E:$AD,COLUMN($AD:$AD)-4,FALSE)</f>
        <v>-5.9825900280175877E-3</v>
      </c>
      <c r="G5" s="299">
        <f>VLOOKUP(Isin!$B$58,$E:$AD,COLUMN($AD:$AD)-4,FALSE)-VLOOKUP(Isin!B56,$E:$AD,COLUMN($AD:$AD)-4,FALSE)</f>
        <v>1.7315136289521339E-3</v>
      </c>
      <c r="H5" s="305">
        <f>VLOOKUP(Isin!B$45,E:AD,COLUMN(AD:AD)-4,FALSE)-VLOOKUP(Isin!B43,E:AD,COLUMN(AD:AD)-4,FALSE)</f>
        <v>3.8484357777220785E-4</v>
      </c>
      <c r="Q5" s="343">
        <f>VLOOKUP(Isin!$B$52,$E:$AD,COLUMN($AD:$AD)-4,FALSE)-VLOOKUP(Isin!B51,$E:$AD,COLUMN($AD:$AD)-4,FALSE)</f>
        <v>3.0710534573320444E-4</v>
      </c>
      <c r="S5" s="375">
        <f>VLOOKUP(Isin!$B$55,$E:$AD,COLUMN($AD:$AD)-4,FALSE)-VLOOKUP(Isin!$B53,$E:$AD,COLUMN($AD:$AD)-4,FALSE)</f>
        <v>1.3023079590542691E-4</v>
      </c>
      <c r="T5" s="390">
        <f>VLOOKUP(Isin!$B$55,$E:$AD,COLUMN($AD:$AD)-4,FALSE)-VLOOKUP(Isin!$B54,$E:$AD,COLUMN($AD:$AD)-4,FALSE)</f>
        <v>-1.9355943957555244E-4</v>
      </c>
      <c r="U5" s="318">
        <f>VLOOKUP(Isin!$B$38,$E:$AD,COLUMN($AD:$AD)-4,FALSE)-VLOOKUP(Isin!$B35,$E:$AD,COLUMN($AD:$AD)-4,FALSE)</f>
        <v>1.6299830566564311E-3</v>
      </c>
      <c r="V5" s="312">
        <f>VLOOKUP(Isin!$B$38,$E:$AD,COLUMN($AD:$AD)-4,FALSE)-VLOOKUP(Isin!$B37,$E:$AD,COLUMN($AD:$AD)-4,FALSE)</f>
        <v>7.5477272073142324E-4</v>
      </c>
      <c r="W5" s="997">
        <f>VLOOKUP(Isin!$B$48,$E:$AD,COLUMN($AD:$AD)-4,FALSE)-VLOOKUP(Isin!$B46,$E:$AD,COLUMN($AD:$AD)-4,FALSE)</f>
        <v>1.0290588200455933E-3</v>
      </c>
      <c r="AD5" s="72">
        <f>_xll.BDP(_xll.BDP(AD1&amp;$D$6&amp;" Comdty","FUT_CTD_CUSIP")&amp;" Govt","YAS_ASW_SPREAD")</f>
        <v>-44.216675941498139</v>
      </c>
      <c r="AK5" s="72">
        <f>_xll.BDP(_xll.BDP(AL1&amp;$D$6&amp;" Comdty","FUT_CTD_CUSIP")&amp;" Govt","YAS_ASW_SPREAD")</f>
        <v>-49.359014448369265</v>
      </c>
      <c r="AL5" s="72">
        <f>_xll.BDP(_xll.BDP(AQ1&amp;$D$6&amp;" Comdty","FUT_CTD_CUSIP")&amp;" Govt","YAS_ASW_SPREAD")</f>
        <v>-44.506647705754297</v>
      </c>
      <c r="AM5" s="265"/>
      <c r="AN5" s="394">
        <f>AD45</f>
        <v>6.3721566476090258E-3</v>
      </c>
      <c r="AO5" s="395">
        <v>100</v>
      </c>
      <c r="AP5" s="1005">
        <f>+AO5*AN5/100</f>
        <v>6.3721566476090266E-3</v>
      </c>
      <c r="AQ5" s="1002"/>
      <c r="AR5" s="392" t="s">
        <v>1948</v>
      </c>
      <c r="AS5" s="253">
        <f>AVERAGE(_xll.RtGet("IDN_SELECTFEED","FOAT"&amp;$D$6,"BID"),_xll.RtGet("IDN_SELECTFEED","FOATM8","ASK"))</f>
        <v>153.07</v>
      </c>
      <c r="AT5" s="134" t="e">
        <f>AS5*'DB Basis'!#REF!</f>
        <v>#REF!</v>
      </c>
    </row>
    <row r="6" spans="1:84" ht="14.25" customHeight="1">
      <c r="D6" s="241" t="s">
        <v>2072</v>
      </c>
      <c r="E6" s="365">
        <f>AD51-AD50</f>
        <v>3.7657313304374426E-4</v>
      </c>
      <c r="F6" s="319">
        <f>VLOOKUP(Isin!$E$49,$E:$AD,COLUMN($AD:$AD)-4,FALSE)-VLOOKUP(Isin!$B70,$E:$AD,COLUMN($AD:$AD)-4,FALSE)</f>
        <v>-5.1873500061037497E-3</v>
      </c>
      <c r="G6" s="320">
        <f>AD76-AD67</f>
        <v>5.8392726408953328E-3</v>
      </c>
      <c r="H6" s="305">
        <f>VLOOKUP(Isin!B$47,E:AD,COLUMN(AD:AD)-4,FALSE)-VLOOKUP(Isin!B43,E:AD,COLUMN(AD:AD)-4,FALSE)</f>
        <v>1.314614282568698E-3</v>
      </c>
      <c r="Q6" s="343">
        <f>VLOOKUP(Isin!$B$55,$E:$AD,COLUMN($AD:$AD)-4,FALSE)-VLOOKUP(Isin!B52,$E:$AD,COLUMN($AD:$AD)-4,FALSE)</f>
        <v>1.1857946000120335E-3</v>
      </c>
      <c r="R6" s="250"/>
      <c r="S6" s="342">
        <f>VLOOKUP(Isin!$B$57,$E:$AD,COLUMN($AD:$AD)-4,FALSE)-VLOOKUP(Isin!$B53,$E:$AD,COLUMN($AD:$AD)-4,FALSE)</f>
        <v>1.857417211424621E-3</v>
      </c>
      <c r="T6" s="380">
        <f>VLOOKUP(Isin!$B$57,$E:$AD,COLUMN($AD:$AD)-4,FALSE)-VLOOKUP(Isin!$B54,$E:$AD,COLUMN($AD:$AD)-4,FALSE)</f>
        <v>1.5336269759436416E-3</v>
      </c>
      <c r="U6" s="312">
        <f>VLOOKUP(Isin!$B$38,$E:$AD,COLUMN($AD:$AD)-4,FALSE)-VLOOKUP(Isin!$B36,$E:$AD,COLUMN($AD:$AD)-4,FALSE)</f>
        <v>1.2534099236126868E-3</v>
      </c>
      <c r="V6" s="312">
        <f>VLOOKUP(Isin!$B$39,$E:$AD,COLUMN($AD:$AD)-4,FALSE)-VLOOKUP(Isin!$B38,$E:$AD,COLUMN($AD:$AD)-4,FALSE)</f>
        <v>6.7828534371597998E-5</v>
      </c>
      <c r="W6" s="306">
        <f>VLOOKUP(Isin!$B$61,$E:$AD,COLUMN($AD:$AD)-4,FALSE)-VLOOKUP(Isin!$B59,$E:$AD,COLUMN($AD:$AD)-4,FALSE)</f>
        <v>8.8396177892320973E-4</v>
      </c>
      <c r="AD6" s="74">
        <f>AVERAGE(_xll.BDP(_xll.BDP(AD1&amp;$D$6&amp;" Comdty","FUT_CTD_CUSIP")&amp;" Govt","BID_YIELD"),_xll.BDP(_xll.BDP(AD1&amp;$D$6&amp;" Comdty","FUT_CTD_CUSIP")&amp;" Govt","ASK_YIELD"))</f>
        <v>-0.59250000000000003</v>
      </c>
      <c r="AK6" s="74">
        <f>AVERAGE(_xll.BDP(_xll.BDP(AL1&amp;$D$6&amp;" Comdty","FUT_CTD_CUSIP")&amp;" Govt","BID_YIELD"),_xll.BDP(_xll.BDP(AL1&amp;$D$6&amp;" Comdty","FUT_CTD_CUSIP")&amp;" Govt","ASK_YIELD"))</f>
        <v>-8.7499999999999994E-2</v>
      </c>
      <c r="AL6" s="74">
        <f>AVERAGE(_xll.BDP(_xll.BDP(AQ1&amp;$D$6&amp;" Comdty","FUT_CTD_CUSIP")&amp;" Govt","BID_YIELD"),_xll.BDP(_xll.BDP(AQ1&amp;$D$6&amp;" Comdty","FUT_CTD_CUSIP")&amp;" Govt","ASK_YIELD"))</f>
        <v>0.45600000000000002</v>
      </c>
      <c r="AM6" s="265"/>
      <c r="AN6" s="394">
        <f>AD53</f>
        <v>9.8751478743997999E-3</v>
      </c>
      <c r="AO6" s="395">
        <v>200</v>
      </c>
      <c r="AP6" s="1005">
        <f>+AO6*AN6/100</f>
        <v>1.97502957487996E-2</v>
      </c>
      <c r="AQ6" s="1003">
        <f>(AP6-AP5-AP7)*100*100</f>
        <v>0.79363956025840787</v>
      </c>
      <c r="AR6" s="392" t="s">
        <v>2071</v>
      </c>
      <c r="AS6" s="253">
        <f>AVERAGE(_xll.RtGet("IDN_SELECTFEED","FBTP"&amp;$D$6,"BID"),_xll.RtGet("IDN_SELECTFEED","FBTPM8","ASK"))</f>
        <v>136.48500000000001</v>
      </c>
      <c r="AT6" s="134" t="e">
        <f>AS6*'DB Basis'!#REF!</f>
        <v>#REF!</v>
      </c>
    </row>
    <row r="7" spans="1:84" ht="16.5" customHeight="1" thickBot="1">
      <c r="A7" s="5" t="s">
        <v>49</v>
      </c>
      <c r="D7" s="5" t="s">
        <v>26</v>
      </c>
      <c r="E7" s="5" t="s">
        <v>27</v>
      </c>
      <c r="F7" s="5" t="s">
        <v>28</v>
      </c>
      <c r="G7" s="5" t="s">
        <v>29</v>
      </c>
      <c r="H7" s="5" t="s">
        <v>30</v>
      </c>
      <c r="I7" s="5" t="s">
        <v>34</v>
      </c>
      <c r="J7" s="5" t="s">
        <v>361</v>
      </c>
      <c r="K7" s="5" t="s">
        <v>360</v>
      </c>
      <c r="L7" s="5"/>
      <c r="M7" s="5"/>
      <c r="N7" s="5"/>
      <c r="O7" s="5" t="s">
        <v>31</v>
      </c>
      <c r="Q7" s="5" t="s">
        <v>35</v>
      </c>
      <c r="R7" s="5"/>
      <c r="S7" s="40" t="s">
        <v>11</v>
      </c>
      <c r="T7" s="40" t="s">
        <v>12</v>
      </c>
      <c r="U7" s="5" t="s">
        <v>13</v>
      </c>
      <c r="V7" s="5" t="s">
        <v>32</v>
      </c>
      <c r="W7" s="128" t="s">
        <v>328</v>
      </c>
      <c r="X7" s="128"/>
      <c r="Y7" s="128"/>
      <c r="Z7" s="128"/>
      <c r="AA7" s="128"/>
      <c r="AB7" s="128"/>
      <c r="AC7" s="128"/>
      <c r="AD7" s="128" t="s">
        <v>33</v>
      </c>
      <c r="AE7" s="128"/>
      <c r="AF7" s="128"/>
      <c r="AG7" s="128"/>
      <c r="AH7" s="128"/>
      <c r="AI7" s="128"/>
      <c r="AJ7" s="128"/>
      <c r="AK7" s="129" t="s">
        <v>1646</v>
      </c>
      <c r="AL7" s="128" t="s">
        <v>362</v>
      </c>
      <c r="AM7" s="269"/>
      <c r="AN7" s="396">
        <f>AD58</f>
        <v>1.3298775145164733E-2</v>
      </c>
      <c r="AO7" s="397">
        <v>100</v>
      </c>
      <c r="AP7" s="1006">
        <f>+AO7*AN7/100</f>
        <v>1.3298775145164733E-2</v>
      </c>
      <c r="AQ7" s="1004"/>
      <c r="AR7" s="133"/>
      <c r="AS7" s="1"/>
      <c r="AT7" s="1"/>
    </row>
    <row r="8" spans="1:84" ht="16.5" thickBot="1">
      <c r="D8" s="376">
        <f>AD74-AD72</f>
        <v>2.0423298464408955E-3</v>
      </c>
      <c r="E8" s="376">
        <f>AD73-AD72</f>
        <v>1.0600759160925427E-3</v>
      </c>
      <c r="F8" s="403">
        <f>AD62-AD60</f>
        <v>9.2977070479649017E-4</v>
      </c>
      <c r="G8" s="390">
        <f>AD44-AD43</f>
        <v>2.0223808085204423E-4</v>
      </c>
      <c r="H8" s="390">
        <f>AD46-AD45</f>
        <v>5.8718458979950539E-5</v>
      </c>
      <c r="P8" s="646"/>
      <c r="Q8" s="390">
        <f>AD46-AD44</f>
        <v>9.2198817103961508E-4</v>
      </c>
      <c r="S8" s="380">
        <f>AD72-AD68</f>
        <v>1.857417211424621E-3</v>
      </c>
      <c r="T8" s="380">
        <f>AD72-AD69</f>
        <v>1.5336269759436416E-3</v>
      </c>
      <c r="U8" s="380">
        <f>AD72-AD70</f>
        <v>1.7271864155191941E-3</v>
      </c>
      <c r="V8" s="375">
        <f>AD69-AD66</f>
        <v>1.6864593853207904E-3</v>
      </c>
      <c r="W8" s="375">
        <f>AD68-AD66</f>
        <v>1.3626691498398111E-3</v>
      </c>
      <c r="X8" s="268"/>
      <c r="Y8" s="268"/>
      <c r="Z8" s="268"/>
      <c r="AA8" s="268"/>
      <c r="AB8" s="268"/>
      <c r="AC8" s="268"/>
      <c r="AD8" s="750" t="s">
        <v>1700</v>
      </c>
      <c r="AE8" s="268"/>
      <c r="AF8" s="268"/>
      <c r="AG8" s="268"/>
      <c r="AH8" s="268"/>
      <c r="AI8" s="268"/>
      <c r="AJ8" s="268"/>
      <c r="AK8" s="268"/>
      <c r="AL8" s="270" t="s">
        <v>753</v>
      </c>
      <c r="AM8" s="270" t="s">
        <v>754</v>
      </c>
      <c r="AN8" s="641" t="s">
        <v>755</v>
      </c>
      <c r="AQ8" s="391"/>
      <c r="AR8" s="130"/>
      <c r="AS8" s="1"/>
      <c r="AT8" s="379"/>
    </row>
    <row r="9" spans="1:84">
      <c r="D9" s="376">
        <f>AD72-AD64</f>
        <v>4.3524184987767667E-3</v>
      </c>
      <c r="E9" s="403">
        <f>AD63-AD60</f>
        <v>2.1069893357547193E-3</v>
      </c>
      <c r="F9" s="403">
        <f>AD63-AD62</f>
        <v>1.1772186309582291E-3</v>
      </c>
      <c r="G9" s="312">
        <f>((2*AD44)-(AD30+AD56))*100</f>
        <v>4.983774564563774E-3</v>
      </c>
      <c r="P9" s="3"/>
      <c r="S9" s="41" t="s">
        <v>18</v>
      </c>
      <c r="T9" s="41" t="s">
        <v>19</v>
      </c>
      <c r="U9" s="3"/>
      <c r="V9" s="748">
        <f>AD83-AD80</f>
        <v>1.7661544328113135E-3</v>
      </c>
      <c r="W9" s="748">
        <f>AD83-AD81</f>
        <v>1.4936345281574351E-3</v>
      </c>
      <c r="X9" s="182"/>
      <c r="Y9" s="182"/>
      <c r="Z9" s="182"/>
      <c r="AA9" s="182"/>
      <c r="AB9" s="182"/>
      <c r="AC9" s="182"/>
      <c r="AD9" s="749">
        <f>AD88-AD87</f>
        <v>8.9498798793603493E-4</v>
      </c>
      <c r="AE9" s="182"/>
      <c r="AF9" s="182"/>
      <c r="AG9" s="182"/>
      <c r="AH9" s="182"/>
      <c r="AI9" s="182"/>
      <c r="AJ9" s="182"/>
      <c r="AK9" s="369"/>
      <c r="AL9" s="271"/>
      <c r="AM9" s="272"/>
      <c r="AN9" s="272"/>
      <c r="AO9" s="1"/>
      <c r="AQ9" s="1"/>
      <c r="AR9" s="130"/>
      <c r="AS9" s="1"/>
      <c r="AT9" s="1"/>
      <c r="AW9" s="135"/>
    </row>
    <row r="10" spans="1:84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54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2079</v>
      </c>
      <c r="Y10" s="5"/>
      <c r="Z10" s="5"/>
      <c r="AA10" s="5"/>
      <c r="AB10" s="5"/>
      <c r="AC10" s="5"/>
      <c r="AD10" s="32" t="s">
        <v>23</v>
      </c>
      <c r="AE10" s="7"/>
      <c r="AF10" s="7"/>
      <c r="AG10" s="7"/>
      <c r="AH10" s="8"/>
      <c r="AI10" s="8"/>
      <c r="AJ10" s="8"/>
      <c r="AK10" s="377" t="s">
        <v>25</v>
      </c>
      <c r="AM10" s="131" t="s">
        <v>81</v>
      </c>
      <c r="AO10" s="363" t="s">
        <v>64</v>
      </c>
      <c r="AP10" s="364" t="s">
        <v>933</v>
      </c>
      <c r="AQ10" s="364" t="s">
        <v>984</v>
      </c>
      <c r="AR10" s="364" t="s">
        <v>985</v>
      </c>
      <c r="AS10" s="132"/>
      <c r="AT10" s="126"/>
      <c r="AU10" s="685" t="s">
        <v>325</v>
      </c>
      <c r="AV10" s="701" t="s">
        <v>1645</v>
      </c>
      <c r="BB10" s="364" t="s">
        <v>1644</v>
      </c>
    </row>
    <row r="11" spans="1:84" ht="14.25" customHeight="1">
      <c r="A11" s="26" t="s">
        <v>51</v>
      </c>
      <c r="B11" s="20"/>
      <c r="C11" s="26"/>
      <c r="D11" s="720">
        <f>MAX(_xll.xlDateSettle("TARGET",$D$4,2),L11)</f>
        <v>43179</v>
      </c>
      <c r="E11" s="710" t="s">
        <v>822</v>
      </c>
      <c r="F11" s="22" t="s">
        <v>1179</v>
      </c>
      <c r="G11" s="673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1180</v>
      </c>
      <c r="O11" s="21" t="s">
        <v>1178</v>
      </c>
      <c r="P11" s="21" t="s">
        <v>1181</v>
      </c>
      <c r="Q11" s="24">
        <v>10752516000</v>
      </c>
      <c r="R11" s="21"/>
      <c r="S11" s="42">
        <f>_xll.RtGet("IDN",$X11,$S$9)</f>
        <v>100.008</v>
      </c>
      <c r="T11" s="42">
        <f>_xll.RtGet("IDN",$X11,$T$9)</f>
        <v>100.01</v>
      </c>
      <c r="U11" s="95">
        <f>IF($U$4="B",AVERAGE(S11:T11),AVERAGE(S11:T11))</f>
        <v>100.009</v>
      </c>
      <c r="V11" s="21"/>
      <c r="W11" s="25">
        <f>IF(V11="",U11,V11)</f>
        <v>100.009</v>
      </c>
      <c r="X11" s="23" t="str">
        <f>LEFT($E11,2)&amp;IF(LEFT($E11,2)="FR",MID($E11,3,10),IF(LEFT($E11,2)="ES",MID($E11,4,8),IF(LEFT($E11,2)="PT",MID($E11,3,6)&amp;RIGHT($E11,3),IF(MID($E11,6,1)="0",MID($E11,7,5),MID($E11,6,6)))))&amp;"="&amp;IF(LEFT($E11,2)="IT","TT","")</f>
        <v>IT517536=TT</v>
      </c>
      <c r="Y11" s="23"/>
      <c r="Z11" s="23"/>
      <c r="AA11" s="23"/>
      <c r="AB11" s="23"/>
      <c r="AC11" s="23"/>
      <c r="AD11" s="33">
        <f>IF(ISNUMBER($D11),_xll.xlBondYield($F11&amp;T(TYPE($AV$1)),$H11,$G11,$J11,$K11,$L11,$M11,$D11,$W11,IF(NOT($H11),TRUE,FALSE)),"")</f>
        <v>-4.1058804707556906E-3</v>
      </c>
      <c r="AE11" s="12"/>
      <c r="AF11" s="12"/>
      <c r="AG11" s="12"/>
      <c r="AH11" s="14"/>
      <c r="AI11" s="14"/>
      <c r="AJ11" s="14"/>
      <c r="AK11" s="246">
        <f>IF(ISNUMBER($D11),_xll.xlBondAswSpread($F11&amp;T(TYPE($AV$1)),$H11,$G11,$J11,$K11,$L11,$M11,$D11,$W11,IF(NOT($H11),TRUE,FALSE),curveName,curveName,,,2),"")</f>
        <v>-2.4227438536429828E-2</v>
      </c>
      <c r="AL11" s="213">
        <f>IF($W11&gt;0,_xll.xlBondZSpread(F11&amp;T(TYPE($AV$1)),H11,G11,J11,K11,L11,M11,D11,U11,"annual",5,IF(NOT($H11),TRUE,FALSE),curveName)*100,"")</f>
        <v>-2.5211747694265796</v>
      </c>
      <c r="AM11" s="266" t="e">
        <f>(-IF($AL$9="",VLOOKUP(VLOOKUP(E11,'DB Basis'!$D$2:$H$65205,4,0),Bonds!$AR$1:$AS$6,2,0),$AL$9)*VLOOKUP(E11,'DB Basis'!$D$2:$E$65205,2,0))+IF(V11="",W11,V11)</f>
        <v>#N/A</v>
      </c>
      <c r="AN11" s="274" t="str">
        <f>IF($AN$9+(($AL$9-$AM$9))*('DB Basis'!F170/10-'DB Basis'!E170),," ")</f>
        <v xml:space="preserve"> </v>
      </c>
      <c r="AO11" s="639">
        <f>IF(U11&gt;0,_xll.xlShmImplSwap2(curveName&amp;T(TYPE($AV$1)),curveName,D11,G11,,1,8,2,4),"")</f>
        <v>-3.8000019648881667E-3</v>
      </c>
      <c r="AP11" s="640">
        <f>IF(AND(ISNUMBER(AD11),ISNUMBER(AO11)),AD11-AO11,"-")</f>
        <v>-3.0587850586752396E-4</v>
      </c>
      <c r="AQ11" s="384"/>
      <c r="AR11" s="385"/>
      <c r="AS11" s="388"/>
      <c r="AT11" s="242">
        <f>IF(ISNUMBER(AD11),AD11*360/365*100,"-")</f>
        <v>-0.40496355328001332</v>
      </c>
      <c r="AU11" s="698" t="str">
        <f t="shared" ref="AU11:AU74" si="1">F11&amp;"  "&amp;TEXT(G11,"dd-mmm-yy")&amp;"  "&amp;H11</f>
        <v>CTZ  28-Mar-18  0</v>
      </c>
      <c r="AV11" s="703">
        <f>AD11-BB11</f>
        <v>5.8119702769698044E-4</v>
      </c>
      <c r="AW11" s="688"/>
      <c r="AX11" s="687"/>
      <c r="AY11" s="687"/>
      <c r="AZ11" s="687"/>
      <c r="BA11" s="687"/>
      <c r="BB11" s="689">
        <f>_xll.xlInterpKruger(_xll.ohFilter($G$11:$G$89,$BC$11:$BC$89),_xll.ohFilter($AD$11:$AD$89,$BC$11:$BC$89),$G11)</f>
        <v>-4.6870774984526711E-3</v>
      </c>
      <c r="BC11" s="695" t="b">
        <v>0</v>
      </c>
      <c r="BE11" s="706">
        <f>G11</f>
        <v>43187</v>
      </c>
      <c r="BF11" s="707">
        <f t="array" ref="BF11:BF599">_xll.xlInterpKruger(_xll.ohFilter(G11:G87,BC11:BC87),_xll.ohFilter(AD11:AD87,BC11:BC87),BE11:BE599)</f>
        <v>-4.6870774984526711E-3</v>
      </c>
    </row>
    <row r="12" spans="1:84">
      <c r="A12" s="28" t="s">
        <v>52</v>
      </c>
      <c r="B12" s="28"/>
      <c r="C12" s="30"/>
      <c r="D12" s="720">
        <f>MAX(_xll.xlDateSettle("TARGET",$D$4,2),L12)</f>
        <v>43179</v>
      </c>
      <c r="E12" s="711" t="s">
        <v>584</v>
      </c>
      <c r="F12" s="102" t="s">
        <v>1177</v>
      </c>
      <c r="G12" s="674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1182</v>
      </c>
      <c r="O12" s="83" t="s">
        <v>1178</v>
      </c>
      <c r="P12" s="83" t="s">
        <v>1183</v>
      </c>
      <c r="Q12" s="104">
        <v>13607659000</v>
      </c>
      <c r="R12" s="83"/>
      <c r="S12" s="105">
        <f>_xll.RtGet("IDN",$X12,$S$9)</f>
        <v>100.108</v>
      </c>
      <c r="T12" s="105">
        <f>_xll.RtGet("IDN",$X12,$T$9)</f>
        <v>100.113</v>
      </c>
      <c r="U12" s="95">
        <f>IF($U$4="B",AVERAGE(S12:T12),AVERAGE(S12:T12))</f>
        <v>100.1105</v>
      </c>
      <c r="V12" s="21"/>
      <c r="W12" s="25">
        <f t="shared" ref="W12:W75" si="2">IF(V12="",U12,V12)</f>
        <v>100.1105</v>
      </c>
      <c r="X12" s="23" t="str">
        <f t="shared" ref="X12:X75" si="3">LEFT($E12,2)&amp;IF(LEFT($E12,2)="FR",MID($E12,3,10),IF(LEFT($E12,2)="ES",MID($E12,4,8),IF(LEFT($E12,2)="PT",MID($E12,3,6)&amp;RIGHT($E12,3),IF(MID($E12,6,1)="0",MID($E12,7,5),MID($E12,6,6)))))&amp;"="&amp;IF(LEFT($E12,2)="IT","TT","")</f>
        <v>IT510604=TT</v>
      </c>
      <c r="Y12" s="23"/>
      <c r="Z12" s="23"/>
      <c r="AA12" s="23"/>
      <c r="AB12" s="23"/>
      <c r="AC12" s="23"/>
      <c r="AD12" s="33">
        <f>IF(ISNUMBER($D12),_xll.xlBondYield($F12,$H12,$G12,$J12,$K12,$L12,$M12,$D12,$W12,IF(NOT($H12),TRUE,FALSE)),"")</f>
        <v>-4.6341770145053637E-3</v>
      </c>
      <c r="AE12" s="12"/>
      <c r="AF12" s="12"/>
      <c r="AG12" s="12"/>
      <c r="AH12" s="14"/>
      <c r="AI12" s="14"/>
      <c r="AJ12" s="14"/>
      <c r="AK12" s="246">
        <f>IF(ISNUMBER($D12),_xll.xlBondAswSpread($F12&amp;T(TYPE($AV$1)),$H12,$G12,$J12,$K12,$L12,$M12,$D12,$W12,IF(NOT($H12),TRUE,FALSE),curveName,curveName,,,2),"")</f>
        <v>-0.1148366335245443</v>
      </c>
      <c r="AL12" s="213">
        <f>IF($W12&gt;0,_xll.xlBondZSpread(F12&amp;T(TYPE($AV$1)),H12,G12,J12,K12,L12,M12,D12,U12,"annual",5,IF(NOT($H12),TRUE,FALSE),curveName)*100,"")</f>
        <v>-11.635863953415539</v>
      </c>
      <c r="AM12" s="266" t="e">
        <f>(-IF($AL$9="",VLOOKUP(VLOOKUP(E12,'DB Basis'!$D$2:$H$65205,4,0),Bonds!$AR$1:$AS$6,2,0),$AL$9)*VLOOKUP(E12,'DB Basis'!$D$2:$E$65205,2,0))+IF(V12="",W12,V12)</f>
        <v>#N/A</v>
      </c>
      <c r="AN12" s="274" t="str">
        <f>IF($AN$9+(($AL$9-$AM$9))*('DB Basis'!F171/10-'DB Basis'!E171),," ")</f>
        <v xml:space="preserve"> </v>
      </c>
      <c r="AO12" s="639">
        <f>IF(U12&gt;0,_xll.xlShmImplSwap2(curveName&amp;T(TYPE($AV$1)),curveName,D12,G12,,1,8,2,4),"")</f>
        <v>-3.5197978688756041E-3</v>
      </c>
      <c r="AP12" s="640">
        <f t="shared" ref="AP12:AP75" si="4">IF(AND(ISNUMBER(AD12),ISNUMBER(AO12)),AD12-AO12,"-")</f>
        <v>-1.1143791456297595E-3</v>
      </c>
      <c r="AQ12" s="386">
        <f t="shared" ref="AQ12:AQ75" si="5">IF(ISNUMBER(((AD12-AD11)/(G12-G11)*365)*10000),((AD12-AD11)/(G12-G11)*365)*10000,"-")</f>
        <v>-40.172549680964721</v>
      </c>
      <c r="AR12" s="386">
        <f t="shared" ref="AR12:AR75" si="6">IF(ISNUMBER(((AP12-AP11)/(G12-G11)*365)*10000),((AP12-AP11)/(G12-G11)*365)*10000,"-")</f>
        <v>-61.47973614858666</v>
      </c>
      <c r="AS12" s="388"/>
      <c r="AT12" s="242">
        <f t="shared" ref="AT12:AT75" si="7">IF(ISNUMBER(AD12),AD12*360/365*100,"-")</f>
        <v>-0.45706951375943317</v>
      </c>
      <c r="AU12" s="699" t="str">
        <f t="shared" si="1"/>
        <v>BTP  15-May-18  0.25</v>
      </c>
      <c r="AV12" s="703">
        <f t="shared" ref="AV12:AV75" si="8">AD12-BB12</f>
        <v>0</v>
      </c>
      <c r="AW12" s="690"/>
      <c r="AX12" s="687"/>
      <c r="AY12" s="687"/>
      <c r="AZ12" s="687"/>
      <c r="BA12" s="687"/>
      <c r="BB12" s="689">
        <f>_xll.xlInterpKruger(_xll.ohFilter($G$11:$G$89,$BC$11:$BC$89),_xll.ohFilter($AD$11:$AD$89,$BC$11:$BC$89),$G12)</f>
        <v>-4.6341770145053637E-3</v>
      </c>
      <c r="BC12" s="695" t="b">
        <v>1</v>
      </c>
      <c r="BE12" s="706">
        <f>_xll.xlDateShiftMonth(BE11,1)</f>
        <v>43218</v>
      </c>
      <c r="BF12" s="707">
        <v>-4.6526467305210177E-3</v>
      </c>
    </row>
    <row r="13" spans="1:84">
      <c r="A13" s="11" t="s">
        <v>53</v>
      </c>
      <c r="B13" s="11"/>
      <c r="C13" s="21"/>
      <c r="D13" s="720">
        <f>MAX(_xll.xlDateSettle("TARGET",$D$4,2),L13)</f>
        <v>43179</v>
      </c>
      <c r="E13" s="710" t="s">
        <v>420</v>
      </c>
      <c r="F13" s="22" t="s">
        <v>1177</v>
      </c>
      <c r="G13" s="673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1184</v>
      </c>
      <c r="O13" s="21" t="s">
        <v>1178</v>
      </c>
      <c r="P13" s="21" t="s">
        <v>1185</v>
      </c>
      <c r="Q13" s="24">
        <v>18499649000</v>
      </c>
      <c r="R13" s="21"/>
      <c r="S13" s="42">
        <f>_xll.RtGet("IDN",$X13,$S$9)</f>
        <v>100.78400000000001</v>
      </c>
      <c r="T13" s="42">
        <f>_xll.RtGet("IDN",$X13,$T$9)</f>
        <v>100.80200000000001</v>
      </c>
      <c r="U13" s="95">
        <f t="shared" ref="U13:U76" si="9">IF($U$4="B",AVERAGE(S13:T13),AVERAGE(S13:T13))</f>
        <v>100.79300000000001</v>
      </c>
      <c r="V13" s="21"/>
      <c r="W13" s="25">
        <f t="shared" si="2"/>
        <v>100.79300000000001</v>
      </c>
      <c r="X13" s="23" t="str">
        <f t="shared" si="3"/>
        <v>IT490784=TT</v>
      </c>
      <c r="Y13" s="23"/>
      <c r="Z13" s="23"/>
      <c r="AA13" s="23"/>
      <c r="AB13" s="23"/>
      <c r="AC13" s="23"/>
      <c r="AD13" s="33">
        <f>IF(ISNUMBER($D13),_xll.xlBondYield($F13,$H13,$G13,$J13,$K13,$L13,$M13,$D13,$W13,IF(NOT($H13),TRUE,FALSE)),"")</f>
        <v>-4.4594219999128659E-3</v>
      </c>
      <c r="AE13" s="12"/>
      <c r="AF13" s="12"/>
      <c r="AG13" s="12"/>
      <c r="AH13" s="14"/>
      <c r="AI13" s="14"/>
      <c r="AJ13" s="14"/>
      <c r="AK13" s="246">
        <f>IF(ISNUMBER($D13),_xll.xlBondAswSpread($F13&amp;T(TYPE($AV$1)),$H13,$G13,$J13,$K13,$L13,$M13,$D13,$W13,IF(NOT($H13),TRUE,FALSE),curveName,curveName,,,2),"")</f>
        <v>-0.10615300458342562</v>
      </c>
      <c r="AL13" s="213">
        <f>IF($W13&gt;0,_xll.xlBondZSpread(F13&amp;T(TYPE($AV$1)),H13,G13,J13,K13,L13,M13,D13,U13,"annual",5,IF(NOT($H13),TRUE,FALSE),curveName)*100,"")</f>
        <v>-10.579613336383773</v>
      </c>
      <c r="AM13" s="266" t="e">
        <f>(-IF($AL$9="",VLOOKUP(VLOOKUP(E13,'DB Basis'!$D$2:$H$65205,4,0),Bonds!$AR$1:$AS$6,2,0),$AL$9)*VLOOKUP(E13,'DB Basis'!$D$2:$E$65205,2,0))+IF(V13="",W13,V13)</f>
        <v>#N/A</v>
      </c>
      <c r="AN13" s="274" t="str">
        <f>IF($AN$9+(($AL$9-$AM$9))*('DB Basis'!F172/10-'DB Basis'!E172),," ")</f>
        <v xml:space="preserve"> </v>
      </c>
      <c r="AO13" s="639">
        <f>IF(U13&gt;0,_xll.xlShmImplSwap2(curveName&amp;T(TYPE($AV$1)),curveName,D13,G13,,1,8,2,4),"")</f>
        <v>-3.4584028511741114E-3</v>
      </c>
      <c r="AP13" s="640">
        <f t="shared" si="4"/>
        <v>-1.0010191487387545E-3</v>
      </c>
      <c r="AQ13" s="386">
        <f t="shared" si="5"/>
        <v>37.520929603683335</v>
      </c>
      <c r="AR13" s="386">
        <f t="shared" si="6"/>
        <v>24.339058156009902</v>
      </c>
      <c r="AS13" s="388"/>
      <c r="AT13" s="242">
        <f t="shared" si="7"/>
        <v>-0.43983340273113203</v>
      </c>
      <c r="AU13" s="699" t="str">
        <f t="shared" si="1"/>
        <v>BTP  01-Jun-18  3.5</v>
      </c>
      <c r="AV13" s="703">
        <f t="shared" si="8"/>
        <v>1.5628529857684374E-4</v>
      </c>
      <c r="AW13" s="687"/>
      <c r="AX13" s="687"/>
      <c r="AY13" s="687"/>
      <c r="AZ13" s="687"/>
      <c r="BA13" s="687"/>
      <c r="BB13" s="689">
        <f>_xll.xlInterpKruger(_xll.ohFilter($G$11:$G$89,$BC$11:$BC$89),_xll.ohFilter($AD$11:$AD$89,$BC$11:$BC$89),$G13)</f>
        <v>-4.6157072984897097E-3</v>
      </c>
      <c r="BC13" s="695" t="b">
        <v>0</v>
      </c>
      <c r="BE13" s="706">
        <f>_xll.xlDateShiftMonth(BE12,1)</f>
        <v>43248</v>
      </c>
      <c r="BF13" s="707">
        <v>-4.6200652220478077E-3</v>
      </c>
    </row>
    <row r="14" spans="1:84">
      <c r="A14" s="28" t="s">
        <v>44</v>
      </c>
      <c r="B14" s="28"/>
      <c r="C14" s="84"/>
      <c r="D14" s="720">
        <f>MAX(_xll.xlDateSettle("TARGET",$D$4,2),L14)</f>
        <v>43179</v>
      </c>
      <c r="E14" s="710" t="s">
        <v>697</v>
      </c>
      <c r="F14" s="22" t="s">
        <v>1177</v>
      </c>
      <c r="G14" s="673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1679</v>
      </c>
      <c r="O14" s="21" t="s">
        <v>1178</v>
      </c>
      <c r="P14" s="21" t="s">
        <v>1680</v>
      </c>
      <c r="Q14" s="24">
        <v>23821553000</v>
      </c>
      <c r="R14" s="21"/>
      <c r="S14" s="42">
        <f>_xll.RtGet("IDN",$X14,$S$9)</f>
        <v>101.83500000000001</v>
      </c>
      <c r="T14" s="42">
        <f>_xll.RtGet("IDN",$X14,$T$9)</f>
        <v>101.858</v>
      </c>
      <c r="U14" s="95">
        <f t="shared" si="9"/>
        <v>101.84650000000001</v>
      </c>
      <c r="V14" s="21"/>
      <c r="W14" s="25">
        <f t="shared" si="2"/>
        <v>101.84650000000001</v>
      </c>
      <c r="X14" s="23" t="str">
        <f t="shared" si="3"/>
        <v>IT436104=TT</v>
      </c>
      <c r="Y14" s="23"/>
      <c r="Z14" s="23"/>
      <c r="AA14" s="23"/>
      <c r="AB14" s="23"/>
      <c r="AC14" s="23"/>
      <c r="AD14" s="33">
        <f>IF(ISNUMBER($D14),_xll.xlBondYield($F14,$H14,$G14,$J14,$K14,$L14,$M14,$D14,$W14,IF(NOT($H14),TRUE,FALSE)),"")</f>
        <v>-4.7670751083798979E-3</v>
      </c>
      <c r="AE14" s="12"/>
      <c r="AF14" s="12"/>
      <c r="AG14" s="12"/>
      <c r="AH14" s="14"/>
      <c r="AI14" s="14"/>
      <c r="AJ14" s="14"/>
      <c r="AK14" s="246">
        <f>IF(ISNUMBER($D14),_xll.xlBondAswSpread($F14&amp;T(TYPE($AV$1)),$H14,$G14,$J14,$K14,$L14,$M14,$D14,$W14,IF(NOT($H14),TRUE,FALSE),curveName,curveName,,,2),"")</f>
        <v>-0.17580824707960721</v>
      </c>
      <c r="AL14" s="213">
        <f>IF($W14&gt;0,_xll.xlBondZSpread(F14&amp;T(TYPE($AV$1)),H14,G14,J14,K14,L14,M14,D14,U14,"annual",5,IF(NOT($H14),TRUE,FALSE),curveName)*100,"")</f>
        <v>-17.377309729621626</v>
      </c>
      <c r="AM14" s="266">
        <f>(-IF($AL$9="",VLOOKUP(VLOOKUP(E14,'DB Basis'!$D$2:$H$65205,4,0),Bonds!$AR$1:$AS$6,2,0),$AL$9)*VLOOKUP(E14,'DB Basis'!$D$2:$E$65205,2,0))+IF(V14="",W14,V14)</f>
        <v>82.0685</v>
      </c>
      <c r="AN14" s="274" t="str">
        <f>IF($AN$9+(($AL$9-$AM$9))*('DB Basis'!F173/10-'DB Basis'!E173),," ")</f>
        <v xml:space="preserve"> </v>
      </c>
      <c r="AO14" s="639">
        <f>IF(U14&gt;0,_xll.xlShmImplSwap2(curveName&amp;T(TYPE($AV$1)),curveName,D14,G14,,1,8,2,4),"")</f>
        <v>-3.0917493039202357E-3</v>
      </c>
      <c r="AP14" s="640">
        <f t="shared" si="4"/>
        <v>-1.6753258044596622E-3</v>
      </c>
      <c r="AQ14" s="386">
        <f t="shared" si="5"/>
        <v>-18.408751572207649</v>
      </c>
      <c r="AR14" s="386">
        <f t="shared" si="6"/>
        <v>-40.347857268546115</v>
      </c>
      <c r="AS14" s="388"/>
      <c r="AT14" s="242">
        <f t="shared" si="7"/>
        <v>-0.47017727096349676</v>
      </c>
      <c r="AU14" s="699" t="str">
        <f t="shared" si="1"/>
        <v>BTP  01-Aug-18  4.5</v>
      </c>
      <c r="AV14" s="703">
        <f t="shared" si="8"/>
        <v>-2.2114979701441835E-4</v>
      </c>
      <c r="AW14" s="687"/>
      <c r="AX14" s="687"/>
      <c r="AY14" s="687"/>
      <c r="AZ14" s="687"/>
      <c r="BA14" s="687"/>
      <c r="BB14" s="689">
        <f>_xll.xlInterpKruger(_xll.ohFilter($G$11:$G$89,$BC$11:$BC$89),_xll.ohFilter($AD$11:$AD$89,$BC$11:$BC$89),$G14)</f>
        <v>-4.5459253113654795E-3</v>
      </c>
      <c r="BC14" s="695" t="b">
        <v>0</v>
      </c>
      <c r="BE14" s="706">
        <f>_xll.xlDateShiftMonth(BE13,1)</f>
        <v>43279</v>
      </c>
      <c r="BF14" s="707">
        <v>-4.5858105793106169E-3</v>
      </c>
      <c r="BU14" s="133" t="s">
        <v>599</v>
      </c>
      <c r="BV14" s="133" t="s">
        <v>599</v>
      </c>
      <c r="BW14" s="133" t="s">
        <v>599</v>
      </c>
      <c r="BX14" s="133" t="s">
        <v>599</v>
      </c>
      <c r="BY14" s="133" t="s">
        <v>599</v>
      </c>
      <c r="BZ14" s="133" t="s">
        <v>599</v>
      </c>
      <c r="CA14" s="133" t="s">
        <v>599</v>
      </c>
      <c r="CB14" s="133" t="s">
        <v>599</v>
      </c>
      <c r="CC14" s="133" t="s">
        <v>599</v>
      </c>
      <c r="CD14" s="133" t="s">
        <v>599</v>
      </c>
      <c r="CE14" s="133" t="s">
        <v>599</v>
      </c>
      <c r="CF14" s="133" t="s">
        <v>599</v>
      </c>
    </row>
    <row r="15" spans="1:84">
      <c r="A15" s="20" t="s">
        <v>45</v>
      </c>
      <c r="B15" s="20"/>
      <c r="C15" s="21"/>
      <c r="D15" s="720">
        <f>MAX(_xll.xlDateSettle("TARGET",$D$4,2),L15)</f>
        <v>43179</v>
      </c>
      <c r="E15" s="712" t="s">
        <v>752</v>
      </c>
      <c r="F15" s="118" t="s">
        <v>1177</v>
      </c>
      <c r="G15" s="675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1186</v>
      </c>
      <c r="O15" s="117" t="s">
        <v>1178</v>
      </c>
      <c r="P15" s="117" t="s">
        <v>1187</v>
      </c>
      <c r="Q15" s="120">
        <v>12199233000</v>
      </c>
      <c r="R15" s="117"/>
      <c r="S15" s="121">
        <f>_xll.RtGet("IDN",$X15,$S$9)</f>
        <v>100.411</v>
      </c>
      <c r="T15" s="121">
        <f>_xll.RtGet("IDN",$X15,$T$9)</f>
        <v>100.416</v>
      </c>
      <c r="U15" s="95">
        <f t="shared" si="9"/>
        <v>100.4135</v>
      </c>
      <c r="V15" s="21"/>
      <c r="W15" s="25">
        <f t="shared" si="2"/>
        <v>100.4135</v>
      </c>
      <c r="X15" s="23" t="str">
        <f t="shared" si="3"/>
        <v>IT513909=TT</v>
      </c>
      <c r="Y15" s="23"/>
      <c r="Z15" s="23"/>
      <c r="AA15" s="23"/>
      <c r="AB15" s="23"/>
      <c r="AC15" s="23"/>
      <c r="AD15" s="33">
        <f>IF(ISNUMBER($D15),_xll.xlBondYield($F15,$H15,$G15,$J15,$K15,$L15,$M15,$D15,$W15,IF(NOT($H15),TRUE,FALSE)),"")</f>
        <v>-4.2150488706576847E-3</v>
      </c>
      <c r="AE15" s="12"/>
      <c r="AF15" s="12"/>
      <c r="AG15" s="12"/>
      <c r="AH15" s="14"/>
      <c r="AI15" s="14"/>
      <c r="AJ15" s="14"/>
      <c r="AK15" s="246">
        <f>IF(ISNUMBER($D15),_xll.xlBondAswSpread($F15&amp;T(TYPE($AV$1)),$H15,$G15,$J15,$K15,$L15,$M15,$D15,$W15,IF(NOT($H15),TRUE,FALSE),curveName,curveName,,,2),"")</f>
        <v>-0.16400270991406116</v>
      </c>
      <c r="AL15" s="213">
        <f>IF($W15&gt;0,_xll.xlBondZSpread(F15&amp;T(TYPE($AV$1)),H15,G15,J15,K15,L15,M15,D15,U15,"annual",5,IF(NOT($H15),TRUE,FALSE),curveName)*100,"")</f>
        <v>-16.285484881045704</v>
      </c>
      <c r="AM15" s="266">
        <f>(-IF($AL$9="",VLOOKUP(VLOOKUP(E15,'DB Basis'!$D$2:$H$65205,4,0),Bonds!$AR$1:$AS$6,2,0),$AL$9)*VLOOKUP(E15,'DB Basis'!$D$2:$E$65205,2,0))+IF(V15="",W15,V15)</f>
        <v>72.207374999999999</v>
      </c>
      <c r="AN15" s="274" t="str">
        <f>IF($AN$9+(($AL$9-$AM$9))*('DB Basis'!F174/10-'DB Basis'!E174),," ")</f>
        <v xml:space="preserve"> </v>
      </c>
      <c r="AO15" s="639">
        <f>IF(U15&gt;0,_xll.xlShmImplSwap2(curveName&amp;T(TYPE($AV$1)),curveName,D15,G15,,1,8,2,4),"")</f>
        <v>-2.5827363019840822E-3</v>
      </c>
      <c r="AP15" s="640">
        <f t="shared" si="4"/>
        <v>-1.6323125686736025E-3</v>
      </c>
      <c r="AQ15" s="386">
        <f t="shared" si="5"/>
        <v>26.865276902481042</v>
      </c>
      <c r="AR15" s="386">
        <f t="shared" si="6"/>
        <v>2.0933108082549046</v>
      </c>
      <c r="AS15" s="388"/>
      <c r="AT15" s="242">
        <f t="shared" si="7"/>
        <v>-0.4157308475169223</v>
      </c>
      <c r="AU15" s="699" t="str">
        <f t="shared" si="1"/>
        <v>BTP  15-Oct-18  0.3</v>
      </c>
      <c r="AV15" s="703">
        <f t="shared" si="8"/>
        <v>2.2544528731990691E-4</v>
      </c>
      <c r="AW15" s="687"/>
      <c r="AX15" s="687"/>
      <c r="AY15" s="687"/>
      <c r="AZ15" s="687"/>
      <c r="BA15" s="687"/>
      <c r="BB15" s="689">
        <f>_xll.xlInterpKruger(_xll.ohFilter($G$11:$G$89,$BC$11:$BC$89),_xll.ohFilter($AD$11:$AD$89,$BC$11:$BC$89),$G15)</f>
        <v>-4.4404941579775916E-3</v>
      </c>
      <c r="BC15" s="695" t="b">
        <v>0</v>
      </c>
      <c r="BE15" s="706">
        <f>_xll.xlDateShiftMonth(BE14,1)</f>
        <v>43309</v>
      </c>
      <c r="BF15" s="707">
        <v>-4.5508002475911922E-3</v>
      </c>
      <c r="BU15" s="133" t="s">
        <v>599</v>
      </c>
      <c r="BV15" s="133" t="s">
        <v>599</v>
      </c>
      <c r="BW15" s="133" t="s">
        <v>599</v>
      </c>
      <c r="BX15" s="133" t="s">
        <v>599</v>
      </c>
      <c r="BY15" s="133" t="s">
        <v>599</v>
      </c>
      <c r="BZ15" s="133" t="s">
        <v>599</v>
      </c>
      <c r="CA15" s="133" t="s">
        <v>599</v>
      </c>
      <c r="CB15" s="133" t="s">
        <v>599</v>
      </c>
      <c r="CC15" s="133" t="s">
        <v>599</v>
      </c>
      <c r="CD15" s="133" t="s">
        <v>599</v>
      </c>
      <c r="CE15" s="133" t="s">
        <v>599</v>
      </c>
      <c r="CF15" s="133" t="s">
        <v>599</v>
      </c>
    </row>
    <row r="16" spans="1:84">
      <c r="A16" s="28" t="s">
        <v>48</v>
      </c>
      <c r="B16" s="28"/>
      <c r="C16" s="29"/>
      <c r="D16" s="720">
        <f>MAX(_xll.xlDateSettle("TARGET",$D$4,2),L16)</f>
        <v>43179</v>
      </c>
      <c r="E16" s="710" t="s">
        <v>421</v>
      </c>
      <c r="F16" s="22" t="s">
        <v>1177</v>
      </c>
      <c r="G16" s="673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1188</v>
      </c>
      <c r="O16" s="21" t="s">
        <v>1178</v>
      </c>
      <c r="P16" s="21" t="s">
        <v>1189</v>
      </c>
      <c r="Q16" s="24">
        <v>18763736000</v>
      </c>
      <c r="R16" s="21"/>
      <c r="S16" s="42">
        <f>_xll.RtGet("IDN",$X16,$S$9)</f>
        <v>102.76</v>
      </c>
      <c r="T16" s="42">
        <f>_xll.RtGet("IDN",$X16,$T$9)</f>
        <v>102.77500000000001</v>
      </c>
      <c r="U16" s="95">
        <f t="shared" si="9"/>
        <v>102.76750000000001</v>
      </c>
      <c r="V16" s="21"/>
      <c r="W16" s="25">
        <f t="shared" si="2"/>
        <v>102.76750000000001</v>
      </c>
      <c r="X16" s="23" t="str">
        <f t="shared" si="3"/>
        <v>IT495757=TT</v>
      </c>
      <c r="Y16" s="23"/>
      <c r="Z16" s="23"/>
      <c r="AA16" s="23"/>
      <c r="AB16" s="23"/>
      <c r="AC16" s="23"/>
      <c r="AD16" s="33">
        <f>IF(ISNUMBER($D16),_xll.xlBondYield($F16,$H16,$G16,$J16,$K16,$L16,$M16,$D16,$W16,IF(NOT($H16),TRUE,FALSE)),"")</f>
        <v>-4.3552424197887962E-3</v>
      </c>
      <c r="AE16" s="12"/>
      <c r="AF16" s="12"/>
      <c r="AG16" s="12"/>
      <c r="AH16" s="14"/>
      <c r="AI16" s="14"/>
      <c r="AJ16" s="14"/>
      <c r="AK16" s="246">
        <f>IF(ISNUMBER($D16),_xll.xlBondAswSpread($F16&amp;T(TYPE($AV$1)),$H16,$G16,$J16,$K16,$L16,$M16,$D16,$W16,IF(NOT($H16),TRUE,FALSE),curveName,curveName,,,2),"")</f>
        <v>-0.2082477604220247</v>
      </c>
      <c r="AL16" s="213">
        <f>IF($W16&gt;0,_xll.xlBondZSpread(F16&amp;T(TYPE($AV$1)),H16,G16,J16,K16,L16,M16,D16,U16,"annual",5,IF(NOT($H16),TRUE,FALSE),curveName)*100,"")</f>
        <v>-20.576948294474281</v>
      </c>
      <c r="AM16" s="266">
        <f>(-IF($AL$9="",VLOOKUP(VLOOKUP(E16,'DB Basis'!$D$2:$H$65205,4,0),Bonds!$AR$1:$AS$6,2,0),$AL$9)*VLOOKUP(E16,'DB Basis'!$D$2:$E$65205,2,0))+IF(V16="",W16,V16)</f>
        <v>67.931250000000006</v>
      </c>
      <c r="AN16" s="274" t="str">
        <f>IF($AN$9+(($AL$9-$AM$9))*('DB Basis'!F175/10-'DB Basis'!E175),," ")</f>
        <v xml:space="preserve"> </v>
      </c>
      <c r="AO16" s="639">
        <f>IF(U16&gt;0,_xll.xlShmImplSwap2(curveName&amp;T(TYPE($AV$1)),curveName,D16,G16,,1,8,2,4),"")</f>
        <v>-2.3012929578631229E-3</v>
      </c>
      <c r="AP16" s="640">
        <f t="shared" si="4"/>
        <v>-2.0539494619256733E-3</v>
      </c>
      <c r="AQ16" s="386">
        <f t="shared" si="5"/>
        <v>-10.887371368692703</v>
      </c>
      <c r="AR16" s="386">
        <f t="shared" si="6"/>
        <v>-32.744141710001244</v>
      </c>
      <c r="AS16" s="388"/>
      <c r="AT16" s="242">
        <f t="shared" si="7"/>
        <v>-0.4295581564723196</v>
      </c>
      <c r="AU16" s="699" t="str">
        <f t="shared" si="1"/>
        <v>BTP  01-Dec-18  3.5</v>
      </c>
      <c r="AV16" s="703">
        <f t="shared" si="8"/>
        <v>0</v>
      </c>
      <c r="AW16" s="687"/>
      <c r="AX16" s="687"/>
      <c r="AY16" s="687"/>
      <c r="AZ16" s="687"/>
      <c r="BA16" s="687"/>
      <c r="BB16" s="689">
        <f>_xll.xlInterpKruger(_xll.ohFilter($G$11:$G$89,$BC$11:$BC$89),_xll.ohFilter($AD$11:$AD$89,$BC$11:$BC$89),$G16)</f>
        <v>-4.3552424197887962E-3</v>
      </c>
      <c r="BC16" s="695" t="b">
        <v>1</v>
      </c>
      <c r="BE16" s="706">
        <f>_xll.xlDateShiftMonth(BE15,1)</f>
        <v>43340</v>
      </c>
      <c r="BF16" s="707">
        <v>-4.5113499116173628E-3</v>
      </c>
      <c r="BU16" s="133" t="s">
        <v>599</v>
      </c>
      <c r="BV16" s="133" t="s">
        <v>599</v>
      </c>
      <c r="BW16" s="133" t="s">
        <v>599</v>
      </c>
      <c r="BX16" s="133" t="s">
        <v>599</v>
      </c>
      <c r="BY16" s="133" t="s">
        <v>599</v>
      </c>
      <c r="BZ16" s="133" t="s">
        <v>599</v>
      </c>
      <c r="CA16" s="133" t="s">
        <v>599</v>
      </c>
      <c r="CB16" s="133" t="s">
        <v>599</v>
      </c>
      <c r="CC16" s="133" t="s">
        <v>599</v>
      </c>
      <c r="CD16" s="133" t="s">
        <v>599</v>
      </c>
      <c r="CE16" s="133" t="s">
        <v>599</v>
      </c>
      <c r="CF16" s="133" t="s">
        <v>599</v>
      </c>
    </row>
    <row r="17" spans="1:84">
      <c r="A17" s="20" t="s">
        <v>47</v>
      </c>
      <c r="B17" s="20"/>
      <c r="C17" s="83"/>
      <c r="D17" s="720">
        <f>MAX(_xll.xlDateSettle("TARGET",$D$4,2),L17)</f>
        <v>43179</v>
      </c>
      <c r="E17" s="710" t="s">
        <v>1627</v>
      </c>
      <c r="F17" s="22" t="s">
        <v>1179</v>
      </c>
      <c r="G17" s="673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1190</v>
      </c>
      <c r="O17" s="21" t="s">
        <v>1178</v>
      </c>
      <c r="P17" s="21" t="s">
        <v>1191</v>
      </c>
      <c r="Q17" s="24">
        <v>12980000000</v>
      </c>
      <c r="R17" s="21"/>
      <c r="S17" s="42">
        <f>_xll.RtGet("IDN",$X17,$S$9)</f>
        <v>100.334</v>
      </c>
      <c r="T17" s="42">
        <f>_xll.RtGet("IDN",$X17,$T$9)</f>
        <v>100.342</v>
      </c>
      <c r="U17" s="95">
        <f t="shared" si="9"/>
        <v>100.33799999999999</v>
      </c>
      <c r="V17" s="21"/>
      <c r="W17" s="25">
        <f t="shared" si="2"/>
        <v>100.33799999999999</v>
      </c>
      <c r="X17" s="23" t="str">
        <f t="shared" si="3"/>
        <v>IT522128=TT</v>
      </c>
      <c r="Y17" s="23"/>
      <c r="Z17" s="23"/>
      <c r="AA17" s="23"/>
      <c r="AB17" s="23"/>
      <c r="AC17" s="23"/>
      <c r="AD17" s="33">
        <f>IF(ISNUMBER($D17),_xll.xlBondYield($F17,$H17,$G17,$J17,$K17,$L17,$M17,$D17,$W17,IF(NOT($H17),TRUE,FALSE)),"")</f>
        <v>-4.3446789427705563E-3</v>
      </c>
      <c r="AE17" s="12"/>
      <c r="AF17" s="12"/>
      <c r="AG17" s="12"/>
      <c r="AH17" s="14"/>
      <c r="AI17" s="14"/>
      <c r="AJ17" s="14"/>
      <c r="AK17" s="246">
        <f>IF(ISNUMBER($D17),_xll.xlBondAswSpread($F17&amp;T(TYPE($AV$1)),$H17,$G17,$J17,$K17,$L17,$M17,$D17,$W17,IF(NOT($H17),TRUE,FALSE),curveName,curveName,,,2),"")</f>
        <v>-0.20699693056574703</v>
      </c>
      <c r="AL17" s="213">
        <f>IF($W17&gt;0,_xll.xlBondZSpread(F17&amp;T(TYPE($AV$1)),H17,G17,J17,K17,L17,M17,D17,U17,"annual",5,IF(NOT($H17),TRUE,FALSE),curveName)*100,"")</f>
        <v>-20.908750684538973</v>
      </c>
      <c r="AM17" s="266" t="e">
        <f>(-IF($AL$9="",VLOOKUP(VLOOKUP(E17,'DB Basis'!$D$2:$H$65205,4,0),Bonds!$AR$1:$AS$6,2,0),$AL$9)*VLOOKUP(E17,'DB Basis'!$D$2:$E$65205,2,0))+IF(V17="",W17,V17)</f>
        <v>#N/A</v>
      </c>
      <c r="AN17" s="274" t="str">
        <f>IF($AN$9+(($AL$9-$AM$9))*('DB Basis'!F176/10-'DB Basis'!E176),," ")</f>
        <v xml:space="preserve"> </v>
      </c>
      <c r="AO17" s="639">
        <f>IF(U17&gt;0,_xll.xlShmImplSwap2(curveName&amp;T(TYPE($AV$1)),curveName,D17,G17,,1,8,2,4),"")</f>
        <v>-2.261352369112536E-3</v>
      </c>
      <c r="AP17" s="640">
        <f t="shared" si="4"/>
        <v>-2.0833265736580203E-3</v>
      </c>
      <c r="AQ17" s="386">
        <f t="shared" si="5"/>
        <v>1.4280255969102094</v>
      </c>
      <c r="AR17" s="386">
        <f t="shared" si="6"/>
        <v>-3.9713502897432105</v>
      </c>
      <c r="AS17" s="388"/>
      <c r="AT17" s="242">
        <f t="shared" si="7"/>
        <v>-0.42851627928695896</v>
      </c>
      <c r="AU17" s="700" t="str">
        <f t="shared" si="1"/>
        <v>CTZ  28-Dec-18  0</v>
      </c>
      <c r="AV17" s="703">
        <f t="shared" si="8"/>
        <v>-5.3403182928241609E-5</v>
      </c>
      <c r="AW17" s="687"/>
      <c r="AX17" s="687"/>
      <c r="AY17" s="687"/>
      <c r="AZ17" s="687"/>
      <c r="BA17" s="687"/>
      <c r="BB17" s="689">
        <f>_xll.xlInterpKruger(_xll.ohFilter($G$11:$G$89,$BC$11:$BC$89),_xll.ohFilter($AD$11:$AD$89,$BC$11:$BC$89),$G17)</f>
        <v>-4.2912757598423147E-3</v>
      </c>
      <c r="BC17" s="695" t="b">
        <v>0</v>
      </c>
      <c r="BE17" s="706">
        <f>_xll.xlDateShiftMonth(BE16,1)</f>
        <v>43371</v>
      </c>
      <c r="BF17" s="707">
        <v>-4.4672004977093114E-3</v>
      </c>
      <c r="BU17" s="133" t="s">
        <v>599</v>
      </c>
      <c r="BV17" s="133" t="s">
        <v>599</v>
      </c>
      <c r="BW17" s="133" t="s">
        <v>599</v>
      </c>
      <c r="BX17" s="133" t="s">
        <v>599</v>
      </c>
      <c r="BY17" s="133" t="s">
        <v>599</v>
      </c>
      <c r="BZ17" s="133" t="s">
        <v>599</v>
      </c>
      <c r="CA17" s="133" t="s">
        <v>599</v>
      </c>
      <c r="CB17" s="133" t="s">
        <v>599</v>
      </c>
      <c r="CC17" s="133" t="s">
        <v>599</v>
      </c>
      <c r="CD17" s="133" t="s">
        <v>599</v>
      </c>
      <c r="CE17" s="133" t="s">
        <v>599</v>
      </c>
      <c r="CF17" s="133" t="s">
        <v>599</v>
      </c>
    </row>
    <row r="18" spans="1:84">
      <c r="A18" s="28" t="s">
        <v>46</v>
      </c>
      <c r="B18" s="28"/>
      <c r="C18" s="29"/>
      <c r="D18" s="720">
        <f>MAX(_xll.xlDateSettle("TARGET",$D$4,2),L18)</f>
        <v>43179</v>
      </c>
      <c r="E18" s="711" t="s">
        <v>563</v>
      </c>
      <c r="F18" s="102" t="s">
        <v>1177</v>
      </c>
      <c r="G18" s="674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1192</v>
      </c>
      <c r="O18" s="83" t="s">
        <v>1178</v>
      </c>
      <c r="P18" s="83" t="s">
        <v>1193</v>
      </c>
      <c r="Q18" s="104">
        <v>23653755000</v>
      </c>
      <c r="R18" s="83"/>
      <c r="S18" s="105">
        <f>_xll.RtGet("IDN",$X18,$S$9)</f>
        <v>104.078</v>
      </c>
      <c r="T18" s="105">
        <f>_xll.RtGet("IDN",$X18,$T$9)</f>
        <v>104.089</v>
      </c>
      <c r="U18" s="95">
        <f t="shared" si="9"/>
        <v>104.0835</v>
      </c>
      <c r="V18" s="21"/>
      <c r="W18" s="25">
        <f t="shared" si="2"/>
        <v>104.0835</v>
      </c>
      <c r="X18" s="23" t="str">
        <f t="shared" si="3"/>
        <v>IT349325=TT</v>
      </c>
      <c r="Y18" s="23"/>
      <c r="Z18" s="23"/>
      <c r="AA18" s="23"/>
      <c r="AB18" s="23"/>
      <c r="AC18" s="23"/>
      <c r="AD18" s="33">
        <f>IF(ISNUMBER($D18),_xll.xlBondYield($F18,$H18,$G18,$J18,$K18,$L18,$M18,$D18,$W18,IF(NOT($H18),TRUE,FALSE)),"")</f>
        <v>-4.2805519578622345E-3</v>
      </c>
      <c r="AE18" s="12"/>
      <c r="AF18" s="12"/>
      <c r="AG18" s="12"/>
      <c r="AH18" s="14"/>
      <c r="AI18" s="14"/>
      <c r="AJ18" s="14"/>
      <c r="AK18" s="246">
        <f>IF(ISNUMBER($D18),_xll.xlBondAswSpread($F18&amp;T(TYPE($AV$1)),$H18,$G18,$J18,$K18,$L18,$M18,$D18,$W18,IF(NOT($H18),TRUE,FALSE),curveName,curveName,,,2),"")</f>
        <v>-0.19861424184012036</v>
      </c>
      <c r="AL18" s="213">
        <f>IF($W18&gt;0,_xll.xlBondZSpread(F18&amp;T(TYPE($AV$1)),H18,G18,J18,K18,L18,M18,D18,U18,"annual",5,IF(NOT($H18),TRUE,FALSE),curveName)*100,"")</f>
        <v>-19.466758429851332</v>
      </c>
      <c r="AM18" s="266">
        <f>(-IF($AL$9="",VLOOKUP(VLOOKUP(E18,'DB Basis'!$D$2:$H$65205,4,0),Bonds!$AR$1:$AS$6,2,0),$AL$9)*VLOOKUP(E18,'DB Basis'!$D$2:$E$65205,2,0))+IF(V18="",W18,V18)</f>
        <v>61.60575</v>
      </c>
      <c r="AN18" s="274" t="str">
        <f>IF($AN$9+(($AL$9-$AM$9))*('DB Basis'!F177/10-'DB Basis'!E177),," ")</f>
        <v xml:space="preserve"> </v>
      </c>
      <c r="AO18" s="639">
        <f>IF(U18&gt;0,_xll.xlShmImplSwap2(curveName&amp;T(TYPE($AV$1)),curveName,D18,G18,,1,8,2,4),"")</f>
        <v>-2.3426793680343945E-3</v>
      </c>
      <c r="AP18" s="640">
        <f t="shared" si="4"/>
        <v>-1.93787258982784E-3</v>
      </c>
      <c r="AQ18" s="386">
        <f t="shared" si="5"/>
        <v>6.6875284261535652</v>
      </c>
      <c r="AR18" s="386">
        <f t="shared" si="6"/>
        <v>15.16877259943309</v>
      </c>
      <c r="AS18" s="388"/>
      <c r="AT18" s="242">
        <f t="shared" si="7"/>
        <v>-0.42219142598093273</v>
      </c>
      <c r="AU18" s="699" t="str">
        <f t="shared" si="1"/>
        <v>BTP  01-Feb-19  4.25</v>
      </c>
      <c r="AV18" s="703">
        <f t="shared" si="8"/>
        <v>-9.8025329524516897E-5</v>
      </c>
      <c r="AW18" s="687"/>
      <c r="AX18" s="687"/>
      <c r="AY18" s="687"/>
      <c r="AZ18" s="687"/>
      <c r="BA18" s="687"/>
      <c r="BB18" s="689">
        <f>_xll.xlInterpKruger(_xll.ohFilter($G$11:$G$89,$BC$11:$BC$89),_xll.ohFilter($AD$11:$AD$89,$BC$11:$BC$89),$G18)</f>
        <v>-4.1825266283377176E-3</v>
      </c>
      <c r="BC18" s="695" t="b">
        <v>0</v>
      </c>
      <c r="BE18" s="706">
        <f>_xll.xlDateShiftMonth(BE17,1)</f>
        <v>43401</v>
      </c>
      <c r="BF18" s="707">
        <v>-4.4186943750445717E-3</v>
      </c>
      <c r="BU18" s="133" t="s">
        <v>599</v>
      </c>
      <c r="BV18" s="133" t="s">
        <v>599</v>
      </c>
      <c r="BW18" s="133" t="s">
        <v>599</v>
      </c>
      <c r="BX18" s="133" t="s">
        <v>599</v>
      </c>
      <c r="BY18" s="133" t="s">
        <v>599</v>
      </c>
      <c r="BZ18" s="133" t="s">
        <v>599</v>
      </c>
      <c r="CA18" s="133" t="s">
        <v>599</v>
      </c>
      <c r="CB18" s="133" t="s">
        <v>599</v>
      </c>
      <c r="CC18" s="133" t="s">
        <v>599</v>
      </c>
      <c r="CD18" s="133" t="s">
        <v>599</v>
      </c>
      <c r="CE18" s="133" t="s">
        <v>599</v>
      </c>
      <c r="CF18" s="133" t="s">
        <v>599</v>
      </c>
    </row>
    <row r="19" spans="1:84">
      <c r="A19" s="20" t="s">
        <v>36</v>
      </c>
      <c r="B19" s="20"/>
      <c r="C19" s="21"/>
      <c r="D19" s="720">
        <f>MAX(_xll.xlDateSettle("TARGET",$D$4,2),L19)</f>
        <v>43179</v>
      </c>
      <c r="E19" s="710" t="s">
        <v>698</v>
      </c>
      <c r="F19" s="22" t="s">
        <v>1177</v>
      </c>
      <c r="G19" s="673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1194</v>
      </c>
      <c r="O19" s="21" t="s">
        <v>1178</v>
      </c>
      <c r="P19" s="21" t="s">
        <v>1195</v>
      </c>
      <c r="Q19" s="24">
        <v>23861490000</v>
      </c>
      <c r="R19" s="21"/>
      <c r="S19" s="42">
        <f>_xll.RtGet("IDN",$X19,$S$9)</f>
        <v>104.685</v>
      </c>
      <c r="T19" s="42">
        <f>_xll.RtGet("IDN",$X19,$T$9)</f>
        <v>104.69</v>
      </c>
      <c r="U19" s="95">
        <f t="shared" si="9"/>
        <v>104.6875</v>
      </c>
      <c r="V19" s="21"/>
      <c r="W19" s="25">
        <f t="shared" si="2"/>
        <v>104.6875</v>
      </c>
      <c r="X19" s="23" t="str">
        <f t="shared" si="3"/>
        <v>IT442395=TT</v>
      </c>
      <c r="Y19" s="23"/>
      <c r="Z19" s="23"/>
      <c r="AA19" s="23"/>
      <c r="AB19" s="23"/>
      <c r="AC19" s="23"/>
      <c r="AD19" s="33">
        <f>IF(ISNUMBER($D19),_xll.xlBondYield($F19,$H19,$G19,$J19,$K19,$L19,$M19,$D19,$W19,IF(NOT($H19),TRUE,FALSE)),"")</f>
        <v>-4.2666671996058475E-3</v>
      </c>
      <c r="AE19" s="12"/>
      <c r="AF19" s="12"/>
      <c r="AG19" s="12"/>
      <c r="AH19" s="14"/>
      <c r="AI19" s="14"/>
      <c r="AJ19" s="14"/>
      <c r="AK19" s="246">
        <f>IF(ISNUMBER($D19),_xll.xlBondAswSpread($F19&amp;T(TYPE($AV$1)),$H19,$G19,$J19,$K19,$L19,$M19,$D19,$W19,IF(NOT($H19),TRUE,FALSE),curveName,curveName,,,2),"")</f>
        <v>-0.19293170135087473</v>
      </c>
      <c r="AL19" s="213">
        <f>IF($W19&gt;0,_xll.xlBondZSpread(F19&amp;T(TYPE($AV$1)),H19,G19,J19,K19,L19,M19,D19,U19,"annual",5,IF(NOT($H19),TRUE,FALSE),curveName)*100,"")</f>
        <v>-18.84469453085331</v>
      </c>
      <c r="AM19" s="266">
        <f>(-IF($AL$9="",VLOOKUP(VLOOKUP(E19,'DB Basis'!$D$2:$H$65205,4,0),Bonds!$AR$1:$AS$6,2,0),$AL$9)*VLOOKUP(E19,'DB Basis'!$D$2:$E$65205,2,0))+IF(V19="",W19,V19)</f>
        <v>58.501375000000003</v>
      </c>
      <c r="AN19" s="274" t="str">
        <f>IF($AN$9+(($AL$9-$AM$9))*('DB Basis'!F178/10-'DB Basis'!E178),," ")</f>
        <v xml:space="preserve"> </v>
      </c>
      <c r="AO19" s="639">
        <f>IF(U19&gt;0,_xll.xlShmImplSwap2(curveName&amp;T(TYPE($AV$1)),curveName,D19,G19,,1,8,2,4),"")</f>
        <v>-2.390477093099949E-3</v>
      </c>
      <c r="AP19" s="640">
        <f t="shared" si="4"/>
        <v>-1.8761901065058985E-3</v>
      </c>
      <c r="AQ19" s="386">
        <f t="shared" si="5"/>
        <v>1.8099774155647292</v>
      </c>
      <c r="AR19" s="386">
        <f t="shared" si="6"/>
        <v>8.0407522901816542</v>
      </c>
      <c r="AS19" s="388"/>
      <c r="AT19" s="242">
        <f t="shared" si="7"/>
        <v>-0.42082197037208358</v>
      </c>
      <c r="AU19" s="699" t="str">
        <f t="shared" si="1"/>
        <v>BTP  01-Mar-19  4.5</v>
      </c>
      <c r="AV19" s="703">
        <f t="shared" si="8"/>
        <v>-1.8908677426542845E-4</v>
      </c>
      <c r="AW19" s="687"/>
      <c r="AX19" s="687"/>
      <c r="AY19" s="687"/>
      <c r="AZ19" s="687"/>
      <c r="BA19" s="687"/>
      <c r="BB19" s="689">
        <f>_xll.xlInterpKruger(_xll.ohFilter($G$11:$G$89,$BC$11:$BC$89),_xll.ohFilter($AD$11:$AD$89,$BC$11:$BC$89),$G19)</f>
        <v>-4.0775804253404191E-3</v>
      </c>
      <c r="BC19" s="695" t="b">
        <v>0</v>
      </c>
      <c r="BE19" s="706">
        <f>_xll.xlDateShiftMonth(BE18,1)</f>
        <v>43432</v>
      </c>
      <c r="BF19" s="707">
        <v>-4.3612475089546141E-3</v>
      </c>
      <c r="BU19" s="133" t="s">
        <v>599</v>
      </c>
      <c r="BV19" s="133" t="s">
        <v>599</v>
      </c>
      <c r="BW19" s="133" t="s">
        <v>599</v>
      </c>
      <c r="BX19" s="133" t="s">
        <v>599</v>
      </c>
      <c r="BY19" s="133" t="s">
        <v>599</v>
      </c>
      <c r="BZ19" s="133" t="s">
        <v>599</v>
      </c>
      <c r="CA19" s="133" t="s">
        <v>599</v>
      </c>
      <c r="CB19" s="133" t="s">
        <v>599</v>
      </c>
      <c r="CC19" s="133" t="s">
        <v>599</v>
      </c>
      <c r="CD19" s="133" t="s">
        <v>599</v>
      </c>
      <c r="CE19" s="133" t="s">
        <v>599</v>
      </c>
      <c r="CF19" s="133" t="s">
        <v>599</v>
      </c>
    </row>
    <row r="20" spans="1:84">
      <c r="A20" s="51" t="s">
        <v>37</v>
      </c>
      <c r="B20" s="51"/>
      <c r="C20" s="29"/>
      <c r="D20" s="720">
        <f>MAX(_xll.xlDateSettle("TARGET",$D$4,2),L20)</f>
        <v>43179</v>
      </c>
      <c r="E20" s="710" t="s">
        <v>864</v>
      </c>
      <c r="F20" s="22" t="s">
        <v>1177</v>
      </c>
      <c r="G20" s="673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1196</v>
      </c>
      <c r="O20" s="21" t="s">
        <v>1178</v>
      </c>
      <c r="P20" s="21" t="s">
        <v>1198</v>
      </c>
      <c r="Q20" s="24">
        <v>11127336000</v>
      </c>
      <c r="R20" s="21"/>
      <c r="S20" s="42">
        <f>_xll.RtGet("IDN",$X20,$S$9)</f>
        <v>100.535</v>
      </c>
      <c r="T20" s="42">
        <f>_xll.RtGet("IDN",$X20,$T$9)</f>
        <v>100.55</v>
      </c>
      <c r="U20" s="95">
        <f t="shared" si="9"/>
        <v>100.54249999999999</v>
      </c>
      <c r="V20" s="21"/>
      <c r="W20" s="25">
        <f t="shared" si="2"/>
        <v>100.54249999999999</v>
      </c>
      <c r="X20" s="23" t="str">
        <f t="shared" si="3"/>
        <v>IT517727=TT</v>
      </c>
      <c r="Y20" s="23"/>
      <c r="Z20" s="23"/>
      <c r="AA20" s="23"/>
      <c r="AB20" s="23"/>
      <c r="AC20" s="23"/>
      <c r="AD20" s="33">
        <f>IF(ISNUMBER($D20),_xll.xlBondYield($F20,$H20,$G20,$J20,$K20,$L20,$M20,$D20,$W20,IF(NOT($H20),TRUE,FALSE)),"")</f>
        <v>-4.0431072183780307E-3</v>
      </c>
      <c r="AE20" s="12"/>
      <c r="AF20" s="12"/>
      <c r="AG20" s="12"/>
      <c r="AH20" s="14"/>
      <c r="AI20" s="14"/>
      <c r="AJ20" s="14"/>
      <c r="AK20" s="246">
        <f>IF(ISNUMBER($D20),_xll.xlBondAswSpread($F20&amp;T(TYPE($AV$1)),$H20,$G20,$J20,$K20,$L20,$M20,$D20,$W20,IF(NOT($H20),TRUE,FALSE),curveName,curveName,,,2),"")</f>
        <v>-0.16224442225167432</v>
      </c>
      <c r="AL20" s="213">
        <f>IF($W20&gt;0,_xll.xlBondZSpread(F20&amp;T(TYPE($AV$1)),H20,G20,J20,K20,L20,M20,D20,U20,"annual",5,IF(NOT($H20),TRUE,FALSE),curveName)*100,"")</f>
        <v>-16.226073347912465</v>
      </c>
      <c r="AM20" s="266">
        <f>(-IF($AL$9="",VLOOKUP(VLOOKUP(E20,'DB Basis'!$D$2:$H$65205,4,0),Bonds!$AR$1:$AS$6,2,0),$AL$9)*VLOOKUP(E20,'DB Basis'!$D$2:$E$65205,2,0))+IF(V20="",W20,V20)</f>
        <v>50.535624999999989</v>
      </c>
      <c r="AN20" s="274" t="str">
        <f>IF($AN$9+(($AL$9-$AM$9))*('DB Basis'!F179/10-'DB Basis'!E179),," ")</f>
        <v xml:space="preserve"> </v>
      </c>
      <c r="AO20" s="639">
        <f>IF(U20&gt;0,_xll.xlShmImplSwap2(curveName&amp;T(TYPE($AV$1)),curveName,D20,G20,,1,8,2,4),"")</f>
        <v>-2.4197072895804856E-3</v>
      </c>
      <c r="AP20" s="640">
        <f t="shared" si="4"/>
        <v>-1.6233999287975451E-3</v>
      </c>
      <c r="AQ20" s="386">
        <f t="shared" si="5"/>
        <v>18.133198477367362</v>
      </c>
      <c r="AR20" s="386">
        <f t="shared" si="6"/>
        <v>20.504092191899773</v>
      </c>
      <c r="AS20" s="388"/>
      <c r="AT20" s="242">
        <f t="shared" si="7"/>
        <v>-0.3987722187989291</v>
      </c>
      <c r="AU20" s="699" t="str">
        <f t="shared" si="1"/>
        <v>BTP  15-Apr-19  0.1</v>
      </c>
      <c r="AV20" s="703">
        <f t="shared" si="8"/>
        <v>-1.6079627224504286E-4</v>
      </c>
      <c r="AW20" s="687"/>
      <c r="AX20" s="687"/>
      <c r="AY20" s="687"/>
      <c r="AZ20" s="687"/>
      <c r="BA20" s="687"/>
      <c r="BB20" s="689">
        <f>_xll.xlInterpKruger(_xll.ohFilter($G$11:$G$89,$BC$11:$BC$89),_xll.ohFilter($AD$11:$AD$89,$BC$11:$BC$89),$G20)</f>
        <v>-3.8823109461329879E-3</v>
      </c>
      <c r="BC20" s="695" t="b">
        <v>0</v>
      </c>
      <c r="BE20" s="706">
        <f>_xll.xlDateShiftMonth(BE19,1)</f>
        <v>43462</v>
      </c>
      <c r="BF20" s="707">
        <v>-4.2912757598423147E-3</v>
      </c>
      <c r="BU20" s="133" t="s">
        <v>599</v>
      </c>
      <c r="BV20" s="133" t="s">
        <v>599</v>
      </c>
      <c r="BW20" s="133" t="s">
        <v>599</v>
      </c>
      <c r="BX20" s="133" t="s">
        <v>599</v>
      </c>
      <c r="BY20" s="133" t="s">
        <v>599</v>
      </c>
      <c r="BZ20" s="133" t="s">
        <v>599</v>
      </c>
      <c r="CA20" s="133" t="s">
        <v>599</v>
      </c>
      <c r="CB20" s="133" t="s">
        <v>599</v>
      </c>
      <c r="CC20" s="133" t="s">
        <v>599</v>
      </c>
      <c r="CD20" s="133" t="s">
        <v>599</v>
      </c>
      <c r="CE20" s="133" t="s">
        <v>599</v>
      </c>
      <c r="CF20" s="133" t="s">
        <v>599</v>
      </c>
    </row>
    <row r="21" spans="1:84">
      <c r="A21" s="20" t="s">
        <v>38</v>
      </c>
      <c r="B21" s="20"/>
      <c r="C21" s="21"/>
      <c r="D21" s="720">
        <f>MAX(_xll.xlDateSettle("TARGET",$D$4,2),L21)</f>
        <v>43179</v>
      </c>
      <c r="E21" s="710" t="s">
        <v>699</v>
      </c>
      <c r="F21" s="22" t="s">
        <v>1177</v>
      </c>
      <c r="G21" s="673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1199</v>
      </c>
      <c r="O21" s="21" t="s">
        <v>1178</v>
      </c>
      <c r="P21" s="21" t="s">
        <v>1200</v>
      </c>
      <c r="Q21" s="24">
        <v>17220568000</v>
      </c>
      <c r="R21" s="21"/>
      <c r="S21" s="42">
        <f>_xll.RtGet("IDN",$X21,$S$9)</f>
        <v>103.21900000000001</v>
      </c>
      <c r="T21" s="42">
        <f>_xll.RtGet("IDN",$X21,$T$9)</f>
        <v>103.23400000000001</v>
      </c>
      <c r="U21" s="95">
        <f t="shared" si="9"/>
        <v>103.22650000000002</v>
      </c>
      <c r="V21" s="21"/>
      <c r="W21" s="25">
        <f t="shared" si="2"/>
        <v>103.22650000000002</v>
      </c>
      <c r="X21" s="23" t="str">
        <f t="shared" si="3"/>
        <v>IT499230=TT</v>
      </c>
      <c r="Y21" s="23"/>
      <c r="Z21" s="23"/>
      <c r="AA21" s="23"/>
      <c r="AB21" s="23"/>
      <c r="AC21" s="23"/>
      <c r="AD21" s="33">
        <f>IF(ISNUMBER($D21),_xll.xlBondYield($F21,$H21,$G21,$J21,$K21,$L21,$M21,$D21,$W21,IF(NOT($H21),TRUE,FALSE)),"")</f>
        <v>-3.8066456791707934E-3</v>
      </c>
      <c r="AE21" s="12"/>
      <c r="AF21" s="12"/>
      <c r="AG21" s="12"/>
      <c r="AH21" s="14"/>
      <c r="AI21" s="14"/>
      <c r="AJ21" s="14"/>
      <c r="AK21" s="246">
        <f>IF(ISNUMBER($D21),_xll.xlBondAswSpread($F21&amp;T(TYPE($AV$1)),$H21,$G21,$J21,$K21,$L21,$M21,$D21,$W21,IF(NOT($H21),TRUE,FALSE),curveName,curveName,,,2),"")</f>
        <v>-0.1397941280335584</v>
      </c>
      <c r="AL21" s="213">
        <f>IF($W21&gt;0,_xll.xlBondZSpread(F21&amp;T(TYPE($AV$1)),H21,G21,J21,K21,L21,M21,D21,U21,"annual",5,IF(NOT($H21),TRUE,FALSE),curveName)*100,"")</f>
        <v>-13.828209313112888</v>
      </c>
      <c r="AM21" s="266">
        <f>(-IF($AL$9="",VLOOKUP(VLOOKUP(E21,'DB Basis'!$D$2:$H$65205,4,0),Bonds!$AR$1:$AS$6,2,0),$AL$9)*VLOOKUP(E21,'DB Basis'!$D$2:$E$65205,2,0))+IF(V21="",W21,V21)</f>
        <v>50.073125000000019</v>
      </c>
      <c r="AN21" s="274" t="str">
        <f>IF($AN$9+(($AL$9-$AM$9))*('DB Basis'!F180/10-'DB Basis'!E180),," ")</f>
        <v xml:space="preserve"> </v>
      </c>
      <c r="AO21" s="639">
        <f>IF(U21&gt;0,_xll.xlShmImplSwap2(curveName&amp;T(TYPE($AV$1)),curveName,D21,G21,,1,8,2,4),"")</f>
        <v>-2.4245747760554023E-3</v>
      </c>
      <c r="AP21" s="640">
        <f t="shared" si="4"/>
        <v>-1.3820709031153911E-3</v>
      </c>
      <c r="AQ21" s="386">
        <f t="shared" si="5"/>
        <v>53.94278863165102</v>
      </c>
      <c r="AR21" s="386">
        <f t="shared" si="6"/>
        <v>55.053183983741398</v>
      </c>
      <c r="AS21" s="388"/>
      <c r="AT21" s="242">
        <f t="shared" si="7"/>
        <v>-0.37544998479492758</v>
      </c>
      <c r="AU21" s="699" t="str">
        <f t="shared" si="1"/>
        <v>BTP  01-May-19  2.5</v>
      </c>
      <c r="AV21" s="703">
        <f t="shared" si="8"/>
        <v>0</v>
      </c>
      <c r="AW21" s="687"/>
      <c r="AX21" s="687"/>
      <c r="AY21" s="687"/>
      <c r="AZ21" s="687"/>
      <c r="BA21" s="687"/>
      <c r="BB21" s="689">
        <f>_xll.xlInterpKruger(_xll.ohFilter($G$11:$G$89,$BC$11:$BC$89),_xll.ohFilter($AD$11:$AD$89,$BC$11:$BC$89),$G21)</f>
        <v>-3.8066456791707934E-3</v>
      </c>
      <c r="BC21" s="695" t="b">
        <v>1</v>
      </c>
      <c r="BE21" s="706">
        <f>_xll.xlDateShiftMonth(BE20,1)</f>
        <v>43493</v>
      </c>
      <c r="BF21" s="707">
        <v>-4.1962929019713543E-3</v>
      </c>
      <c r="BU21" s="133" t="s">
        <v>599</v>
      </c>
      <c r="BV21" s="133" t="s">
        <v>599</v>
      </c>
      <c r="BW21" s="133" t="s">
        <v>599</v>
      </c>
      <c r="BX21" s="133" t="s">
        <v>599</v>
      </c>
      <c r="BY21" s="133" t="s">
        <v>599</v>
      </c>
      <c r="BZ21" s="133" t="s">
        <v>599</v>
      </c>
      <c r="CA21" s="133" t="s">
        <v>599</v>
      </c>
      <c r="CB21" s="133" t="s">
        <v>599</v>
      </c>
      <c r="CC21" s="133" t="s">
        <v>599</v>
      </c>
      <c r="CD21" s="133" t="s">
        <v>599</v>
      </c>
      <c r="CE21" s="133" t="s">
        <v>599</v>
      </c>
      <c r="CF21" s="133" t="s">
        <v>599</v>
      </c>
    </row>
    <row r="22" spans="1:84">
      <c r="A22" s="28" t="s">
        <v>42</v>
      </c>
      <c r="B22" s="28"/>
      <c r="C22" s="29"/>
      <c r="D22" s="720">
        <f>MAX(_xll.xlDateSettle("TARGET",$D$4,2),L22)</f>
        <v>43179</v>
      </c>
      <c r="E22" s="713" t="s">
        <v>1628</v>
      </c>
      <c r="F22" s="79" t="s">
        <v>1179</v>
      </c>
      <c r="G22" s="676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1201</v>
      </c>
      <c r="O22" s="77" t="s">
        <v>1178</v>
      </c>
      <c r="P22" s="77" t="s">
        <v>1202</v>
      </c>
      <c r="Q22" s="81">
        <v>11059547000</v>
      </c>
      <c r="R22" s="77"/>
      <c r="S22" s="82">
        <f>_xll.RtGet("IDN",$X22,$S$9)</f>
        <v>100.401</v>
      </c>
      <c r="T22" s="82">
        <f>_xll.RtGet("IDN",$X22,$T$9)</f>
        <v>100.414</v>
      </c>
      <c r="U22" s="95">
        <f t="shared" si="9"/>
        <v>100.4075</v>
      </c>
      <c r="V22" s="21"/>
      <c r="W22" s="25">
        <f t="shared" si="2"/>
        <v>100.4075</v>
      </c>
      <c r="X22" s="23" t="str">
        <f t="shared" si="3"/>
        <v>IT525647=TT</v>
      </c>
      <c r="Y22" s="23"/>
      <c r="Z22" s="23"/>
      <c r="AA22" s="23"/>
      <c r="AB22" s="23"/>
      <c r="AC22" s="23"/>
      <c r="AD22" s="33">
        <f>IF(ISNUMBER($D22),_xll.xlBondYield($F22,$H22,$G22,$J22,$K22,$L22,$M22,$D22,$W22,IF(NOT($H22),TRUE,FALSE)),"")</f>
        <v>-3.3986899604369443E-3</v>
      </c>
      <c r="AE22" s="12"/>
      <c r="AF22" s="12"/>
      <c r="AG22" s="12"/>
      <c r="AH22" s="14"/>
      <c r="AI22" s="14"/>
      <c r="AJ22" s="14"/>
      <c r="AK22" s="246">
        <f>IF(ISNUMBER($D22),_xll.xlBondAswSpread($F22&amp;T(TYPE($AV$1)),$H22,$G22,$J22,$K22,$L22,$M22,$D22,$W22,IF(NOT($H22),TRUE,FALSE),curveName,curveName,,,2),"")</f>
        <v>-9.5751868323611433E-2</v>
      </c>
      <c r="AL22" s="213">
        <f>IF($W22&gt;0,_xll.xlBondZSpread(F22&amp;T(TYPE($AV$1)),H22,G22,J22,K22,L22,M22,D22,U22,"annual",5,IF(NOT($H22),TRUE,FALSE),curveName)*100,"")</f>
        <v>-9.6727459159665159</v>
      </c>
      <c r="AM22" s="266" t="e">
        <f>(-IF($AL$9="",VLOOKUP(VLOOKUP(E22,'DB Basis'!$D$2:$H$65205,4,0),Bonds!$AR$1:$AS$6,2,0),$AL$9)*VLOOKUP(E22,'DB Basis'!$D$2:$E$65205,2,0))+IF(V22="",W22,V22)</f>
        <v>#N/A</v>
      </c>
      <c r="AN22" s="274" t="str">
        <f>IF($AN$9+(($AL$9-$AM$9))*('DB Basis'!F181/10-'DB Basis'!E181),," ")</f>
        <v xml:space="preserve"> </v>
      </c>
      <c r="AO22" s="639">
        <f>IF(U22&gt;0,_xll.xlShmImplSwap2(curveName&amp;T(TYPE($AV$1)),curveName,D22,G22,,1,8,2,4),"")</f>
        <v>-2.4318818790793413E-3</v>
      </c>
      <c r="AP22" s="640">
        <f t="shared" si="4"/>
        <v>-9.6680808135760294E-4</v>
      </c>
      <c r="AQ22" s="386">
        <f t="shared" si="5"/>
        <v>51.346150806156871</v>
      </c>
      <c r="AR22" s="386">
        <f t="shared" si="6"/>
        <v>52.265837910894021</v>
      </c>
      <c r="AS22" s="388"/>
      <c r="AT22" s="242">
        <f t="shared" si="7"/>
        <v>-0.335213256371863</v>
      </c>
      <c r="AU22" s="698" t="str">
        <f t="shared" si="1"/>
        <v>CTZ  30-May-19  0</v>
      </c>
      <c r="AV22" s="703">
        <f t="shared" si="8"/>
        <v>2.5449585446330218E-4</v>
      </c>
      <c r="AW22" s="687"/>
      <c r="AX22" s="687"/>
      <c r="AY22" s="687"/>
      <c r="AZ22" s="687"/>
      <c r="BA22" s="687"/>
      <c r="BB22" s="689">
        <f>_xll.xlInterpKruger(_xll.ohFilter($G$11:$G$89,$BC$11:$BC$89),_xll.ohFilter($AD$11:$AD$89,$BC$11:$BC$89),$G22)</f>
        <v>-3.6531858149002464E-3</v>
      </c>
      <c r="BC22" s="695" t="b">
        <v>0</v>
      </c>
      <c r="BE22" s="706">
        <f>_xll.xlDateShiftMonth(BE21,1)</f>
        <v>43524</v>
      </c>
      <c r="BF22" s="707">
        <v>-4.081571042684422E-3</v>
      </c>
      <c r="BU22" s="133" t="s">
        <v>599</v>
      </c>
      <c r="BV22" s="133" t="s">
        <v>599</v>
      </c>
      <c r="BW22" s="133" t="s">
        <v>599</v>
      </c>
      <c r="BX22" s="133" t="s">
        <v>599</v>
      </c>
      <c r="BY22" s="133" t="s">
        <v>599</v>
      </c>
      <c r="BZ22" s="133" t="s">
        <v>599</v>
      </c>
      <c r="CA22" s="133" t="s">
        <v>599</v>
      </c>
      <c r="CB22" s="133" t="s">
        <v>599</v>
      </c>
      <c r="CC22" s="133" t="s">
        <v>599</v>
      </c>
      <c r="CD22" s="133" t="s">
        <v>599</v>
      </c>
      <c r="CE22" s="133" t="s">
        <v>599</v>
      </c>
      <c r="CF22" s="133" t="s">
        <v>599</v>
      </c>
    </row>
    <row r="23" spans="1:84">
      <c r="A23" s="11" t="s">
        <v>40</v>
      </c>
      <c r="B23" s="11"/>
      <c r="C23" s="77"/>
      <c r="D23" s="720">
        <f>MAX(_xll.xlDateSettle("TARGET",$D$4,2),L23)</f>
        <v>43179</v>
      </c>
      <c r="E23" s="714" t="s">
        <v>585</v>
      </c>
      <c r="F23" s="107" t="s">
        <v>1177</v>
      </c>
      <c r="G23" s="677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1203</v>
      </c>
      <c r="O23" s="106" t="s">
        <v>1178</v>
      </c>
      <c r="P23" s="106" t="s">
        <v>1204</v>
      </c>
      <c r="Q23" s="109">
        <v>14616619000</v>
      </c>
      <c r="R23" s="106"/>
      <c r="S23" s="110">
        <f>_xll.RtGet("IDN",$X23,$S$9)</f>
        <v>102.52</v>
      </c>
      <c r="T23" s="110">
        <f>_xll.RtGet("IDN",$X23,$T$9)</f>
        <v>102.532</v>
      </c>
      <c r="U23" s="95">
        <f t="shared" si="9"/>
        <v>102.526</v>
      </c>
      <c r="V23" s="21"/>
      <c r="W23" s="25">
        <f t="shared" si="2"/>
        <v>102.526</v>
      </c>
      <c r="X23" s="23" t="str">
        <f t="shared" si="3"/>
        <v>IT503050=TT</v>
      </c>
      <c r="Y23" s="23"/>
      <c r="Z23" s="23"/>
      <c r="AA23" s="23"/>
      <c r="AB23" s="23"/>
      <c r="AC23" s="23"/>
      <c r="AD23" s="33">
        <f>IF(ISNUMBER($D23),_xll.xlBondYield($F23,$H23,$G23,$J23,$K23,$L23,$M23,$D23,$W23,IF(NOT($H23),TRUE,FALSE)),"")</f>
        <v>-3.3737976793843938E-3</v>
      </c>
      <c r="AE23" s="12"/>
      <c r="AF23" s="12"/>
      <c r="AG23" s="12"/>
      <c r="AH23" s="14"/>
      <c r="AI23" s="14"/>
      <c r="AJ23" s="14"/>
      <c r="AK23" s="246">
        <f>IF(ISNUMBER($D23),_xll.xlBondAswSpread($F23&amp;T(TYPE($AV$1)),$H23,$G23,$J23,$K23,$L23,$M23,$D23,$W23,IF(NOT($H23),TRUE,FALSE),curveName,curveName,,,2),"")</f>
        <v>-0.10123929212701499</v>
      </c>
      <c r="AL23" s="213">
        <f>IF($W23&gt;0,_xll.xlBondZSpread(F23&amp;T(TYPE($AV$1)),H23,G23,J23,K23,L23,M23,D23,U23,"annual",5,IF(NOT($H23),TRUE,FALSE),curveName)*100,"")</f>
        <v>-10.07789550298912</v>
      </c>
      <c r="AM23" s="266">
        <f>(-IF($AL$9="",VLOOKUP(VLOOKUP(E23,'DB Basis'!$D$2:$H$65205,4,0),Bonds!$AR$1:$AS$6,2,0),$AL$9)*VLOOKUP(E23,'DB Basis'!$D$2:$E$65205,2,0))+IF(V23="",W23,V23)</f>
        <v>38.584625000000003</v>
      </c>
      <c r="AN23" s="274" t="str">
        <f>IF($AN$9+(($AL$9-$AM$9))*('DB Basis'!F182/10-'DB Basis'!E182),," ")</f>
        <v xml:space="preserve"> </v>
      </c>
      <c r="AO23" s="639">
        <f>IF(U23&gt;0,_xll.xlShmImplSwap2(curveName&amp;T(TYPE($AV$1)),curveName,D23,G23,,1,8,2,4),"")</f>
        <v>-2.3782935991134464E-3</v>
      </c>
      <c r="AP23" s="640">
        <f t="shared" si="4"/>
        <v>-9.9550408027094736E-4</v>
      </c>
      <c r="AQ23" s="386">
        <f t="shared" si="5"/>
        <v>1.4421718387588767</v>
      </c>
      <c r="AR23" s="386">
        <f t="shared" si="6"/>
        <v>-1.6625459687890023</v>
      </c>
      <c r="AS23" s="388"/>
      <c r="AT23" s="242">
        <f t="shared" si="7"/>
        <v>-0.33275812728174842</v>
      </c>
      <c r="AU23" s="699" t="str">
        <f t="shared" si="1"/>
        <v>BTP  01-Aug-19  1.5</v>
      </c>
      <c r="AV23" s="703">
        <f t="shared" si="8"/>
        <v>-1.3329102309596937E-4</v>
      </c>
      <c r="AW23" s="687"/>
      <c r="AX23" s="687"/>
      <c r="AY23" s="687"/>
      <c r="AZ23" s="687"/>
      <c r="BA23" s="687"/>
      <c r="BB23" s="689">
        <f>_xll.xlInterpKruger(_xll.ohFilter($G$11:$G$89,$BC$11:$BC$89),_xll.ohFilter($AD$11:$AD$89,$BC$11:$BC$89),$G23)</f>
        <v>-3.2405066562884244E-3</v>
      </c>
      <c r="BC23" s="695" t="b">
        <v>0</v>
      </c>
      <c r="BE23" s="706">
        <f>_xll.xlDateShiftMonth(BE22,1)</f>
        <v>43552</v>
      </c>
      <c r="BF23" s="707">
        <v>-3.9638414562644915E-3</v>
      </c>
      <c r="BU23" s="133" t="s">
        <v>599</v>
      </c>
      <c r="BV23" s="133" t="s">
        <v>599</v>
      </c>
      <c r="BW23" s="133" t="s">
        <v>599</v>
      </c>
      <c r="BX23" s="133" t="s">
        <v>599</v>
      </c>
      <c r="BY23" s="133" t="s">
        <v>599</v>
      </c>
      <c r="BZ23" s="133" t="s">
        <v>599</v>
      </c>
      <c r="CA23" s="133" t="s">
        <v>599</v>
      </c>
      <c r="CB23" s="133" t="s">
        <v>599</v>
      </c>
      <c r="CC23" s="133" t="s">
        <v>599</v>
      </c>
      <c r="CD23" s="133" t="s">
        <v>599</v>
      </c>
      <c r="CE23" s="133" t="s">
        <v>599</v>
      </c>
      <c r="CF23" s="133" t="s">
        <v>599</v>
      </c>
    </row>
    <row r="24" spans="1:84">
      <c r="A24" s="28" t="s">
        <v>50</v>
      </c>
      <c r="B24" s="28"/>
      <c r="C24" s="29"/>
      <c r="D24" s="720">
        <f>MAX(_xll.xlDateSettle("TARGET",$D$4,2),L24)</f>
        <v>43179</v>
      </c>
      <c r="E24" s="715" t="s">
        <v>334</v>
      </c>
      <c r="F24" s="98" t="s">
        <v>1177</v>
      </c>
      <c r="G24" s="678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1205</v>
      </c>
      <c r="O24" s="97" t="s">
        <v>1178</v>
      </c>
      <c r="P24" s="97" t="s">
        <v>1206</v>
      </c>
      <c r="Q24" s="100">
        <v>24176078000</v>
      </c>
      <c r="R24" s="97"/>
      <c r="S24" s="73">
        <f>_xll.RtGet("IDN",$X24,$S$9)</f>
        <v>106.623</v>
      </c>
      <c r="T24" s="73">
        <f>_xll.RtGet("IDN",$X24,$T$9)</f>
        <v>106.63</v>
      </c>
      <c r="U24" s="95">
        <f t="shared" si="9"/>
        <v>106.62649999999999</v>
      </c>
      <c r="V24" s="21"/>
      <c r="W24" s="25">
        <f t="shared" si="2"/>
        <v>106.62649999999999</v>
      </c>
      <c r="X24" s="23" t="str">
        <f t="shared" si="3"/>
        <v>IT448961=TT</v>
      </c>
      <c r="Y24" s="23"/>
      <c r="Z24" s="23"/>
      <c r="AA24" s="23"/>
      <c r="AB24" s="23"/>
      <c r="AC24" s="23"/>
      <c r="AD24" s="33">
        <f>IF(ISNUMBER($D24),_xll.xlBondYield($F24,$H24,$G24,$J24,$K24,$L24,$M24,$D24,$W24,IF(NOT($H24),TRUE,FALSE)),"")</f>
        <v>-3.1033469821329304E-3</v>
      </c>
      <c r="AE24" s="12"/>
      <c r="AF24" s="12"/>
      <c r="AG24" s="12"/>
      <c r="AH24" s="14"/>
      <c r="AI24" s="14"/>
      <c r="AJ24" s="14"/>
      <c r="AK24" s="246">
        <f>IF(ISNUMBER($D24),_xll.xlBondAswSpread($F24&amp;T(TYPE($AV$1)),$H24,$G24,$J24,$K24,$L24,$M24,$D24,$W24,IF(NOT($H24),TRUE,FALSE),curveName,curveName,,,2),"")</f>
        <v>-7.9204875854472459E-2</v>
      </c>
      <c r="AL24" s="213">
        <f>IF($W24&gt;0,_xll.xlBondZSpread(F24&amp;T(TYPE($AV$1)),H24,G24,J24,K24,L24,M24,D24,U24,"annual",5,IF(NOT($H24),TRUE,FALSE),curveName)*100,"")</f>
        <v>-7.6771751531050541</v>
      </c>
      <c r="AM24" s="266">
        <f>(-IF($AL$9="",VLOOKUP(VLOOKUP(E24,'DB Basis'!$D$2:$H$65205,4,0),Bonds!$AR$1:$AS$6,2,0),$AL$9)*VLOOKUP(E24,'DB Basis'!$D$2:$E$65205,2,0))+IF(V24="",W24,V24)</f>
        <v>37.291124999999994</v>
      </c>
      <c r="AN24" s="274" t="str">
        <f>IF($AN$9+(($AL$9-$AM$9))*('DB Basis'!F183/10-'DB Basis'!E183),," ")</f>
        <v xml:space="preserve"> </v>
      </c>
      <c r="AO24" s="639">
        <f>IF(U24&gt;0,_xll.xlShmImplSwap2(curveName&amp;T(TYPE($AV$1)),curveName,D24,G24,,1,8,2,4),"")</f>
        <v>-2.3380278478459323E-3</v>
      </c>
      <c r="AP24" s="640">
        <f t="shared" si="4"/>
        <v>-7.6531913428699817E-4</v>
      </c>
      <c r="AQ24" s="386">
        <f t="shared" si="5"/>
        <v>31.843388547349718</v>
      </c>
      <c r="AR24" s="386">
        <f t="shared" si="6"/>
        <v>27.10242105940047</v>
      </c>
      <c r="AS24" s="388"/>
      <c r="AT24" s="242">
        <f t="shared" si="7"/>
        <v>-0.30608353796379589</v>
      </c>
      <c r="AU24" s="699" t="str">
        <f t="shared" si="1"/>
        <v>BTP  01-Sep-19  4.25</v>
      </c>
      <c r="AV24" s="703">
        <f t="shared" si="8"/>
        <v>-9.4706892773817938E-5</v>
      </c>
      <c r="AW24" s="687"/>
      <c r="AX24" s="687"/>
      <c r="AY24" s="687"/>
      <c r="AZ24" s="687"/>
      <c r="BA24" s="687"/>
      <c r="BB24" s="689">
        <f>_xll.xlInterpKruger(_xll.ohFilter($G$11:$G$89,$BC$11:$BC$89),_xll.ohFilter($AD$11:$AD$89,$BC$11:$BC$89),$G24)</f>
        <v>-3.0086400893591125E-3</v>
      </c>
      <c r="BC24" s="695" t="b">
        <v>0</v>
      </c>
      <c r="BE24" s="706">
        <f>_xll.xlDateShiftMonth(BE23,1)</f>
        <v>43583</v>
      </c>
      <c r="BF24" s="707">
        <v>-3.8210386512449609E-3</v>
      </c>
      <c r="BU24" s="133" t="s">
        <v>599</v>
      </c>
      <c r="BV24" s="133" t="s">
        <v>599</v>
      </c>
      <c r="BW24" s="133" t="s">
        <v>599</v>
      </c>
      <c r="BX24" s="133" t="s">
        <v>599</v>
      </c>
      <c r="BY24" s="133" t="s">
        <v>599</v>
      </c>
      <c r="BZ24" s="133" t="s">
        <v>599</v>
      </c>
      <c r="CA24" s="133" t="s">
        <v>599</v>
      </c>
      <c r="CB24" s="133" t="s">
        <v>599</v>
      </c>
      <c r="CC24" s="133" t="s">
        <v>599</v>
      </c>
      <c r="CD24" s="133" t="s">
        <v>599</v>
      </c>
      <c r="CE24" s="133" t="s">
        <v>599</v>
      </c>
      <c r="CF24" s="133" t="s">
        <v>599</v>
      </c>
    </row>
    <row r="25" spans="1:84">
      <c r="A25" s="20" t="s">
        <v>43</v>
      </c>
      <c r="B25" s="20"/>
      <c r="C25" s="21"/>
      <c r="D25" s="720">
        <f>MAX(_xll.xlDateSettle("TARGET",$D$4,2),L25)</f>
        <v>43179</v>
      </c>
      <c r="E25" s="710" t="s">
        <v>895</v>
      </c>
      <c r="F25" s="22" t="s">
        <v>1177</v>
      </c>
      <c r="G25" s="673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1207</v>
      </c>
      <c r="O25" s="21" t="s">
        <v>1197</v>
      </c>
      <c r="P25" s="21" t="s">
        <v>1208</v>
      </c>
      <c r="Q25" s="24">
        <v>14207500000</v>
      </c>
      <c r="R25" s="21"/>
      <c r="S25" s="73">
        <f>_xll.RtGet("IDN",$X25,$S$9)</f>
        <v>100.47</v>
      </c>
      <c r="T25" s="73">
        <f>_xll.RtGet("IDN",$X25,$T$9)</f>
        <v>100.5</v>
      </c>
      <c r="U25" s="95">
        <f t="shared" si="9"/>
        <v>100.485</v>
      </c>
      <c r="V25" s="21"/>
      <c r="W25" s="25">
        <f t="shared" si="2"/>
        <v>100.485</v>
      </c>
      <c r="X25" s="23" t="str">
        <f t="shared" si="3"/>
        <v>IT521792=TT</v>
      </c>
      <c r="Y25" s="23"/>
      <c r="Z25" s="23"/>
      <c r="AA25" s="23"/>
      <c r="AB25" s="23"/>
      <c r="AC25" s="23"/>
      <c r="AD25" s="33">
        <f>IF(ISNUMBER($D25),_xll.xlBondYield($F25,$H25,$G25,$J25,$K25,$L25,$M25,$D25,$W25,IF(NOT($H25),TRUE,FALSE)),"")</f>
        <v>-2.5764599744634731E-3</v>
      </c>
      <c r="AE25" s="12"/>
      <c r="AF25" s="12"/>
      <c r="AG25" s="12"/>
      <c r="AH25" s="14"/>
      <c r="AI25" s="14"/>
      <c r="AJ25" s="14"/>
      <c r="AK25" s="246">
        <f>IF(ISNUMBER($D25),_xll.xlBondAswSpread($F25&amp;T(TYPE($AV$1)),$H25,$G25,$J25,$K25,$L25,$M25,$D25,$W25,IF(NOT($H25),TRUE,FALSE),curveName,curveName,,,2),"")</f>
        <v>-3.5352156385464385E-2</v>
      </c>
      <c r="AL25" s="213">
        <f>IF($W25&gt;0,_xll.xlBondZSpread(F25&amp;T(TYPE($AV$1)),H25,G25,J25,K25,L25,M25,D25,U25,"annual",5,IF(NOT($H25),TRUE,FALSE),curveName)*100,"")</f>
        <v>-3.5003215775941494</v>
      </c>
      <c r="AM25" s="266">
        <f>(-IF($AL$9="",VLOOKUP(VLOOKUP(E25,'DB Basis'!$D$2:$H$65205,4,0),Bonds!$AR$1:$AS$6,2,0),$AL$9)*VLOOKUP(E25,'DB Basis'!$D$2:$E$65205,2,0))+IF(V25="",W25,V25)</f>
        <v>28.789749999999998</v>
      </c>
      <c r="AN25" s="274" t="str">
        <f>IF($AN$9+(($AL$9-$AM$9))*('DB Basis'!F184/10-'DB Basis'!E184),," ")</f>
        <v xml:space="preserve"> </v>
      </c>
      <c r="AO25" s="639">
        <f>IF(U25&gt;0,_xll.xlShmImplSwap2(curveName&amp;T(TYPE($AV$1)),curveName,D25,G25,,1,8,2,4),"")</f>
        <v>-2.2252609903390848E-3</v>
      </c>
      <c r="AP25" s="640">
        <f t="shared" si="4"/>
        <v>-3.5119898412438837E-4</v>
      </c>
      <c r="AQ25" s="386">
        <f t="shared" si="5"/>
        <v>43.707672227125428</v>
      </c>
      <c r="AR25" s="386">
        <f t="shared" si="6"/>
        <v>34.353148820307403</v>
      </c>
      <c r="AS25" s="388"/>
      <c r="AT25" s="242">
        <f t="shared" si="7"/>
        <v>-0.25411660022105492</v>
      </c>
      <c r="AU25" s="699" t="str">
        <f t="shared" si="1"/>
        <v>BTP  15-Oct-19  0.05</v>
      </c>
      <c r="AV25" s="703">
        <f t="shared" si="8"/>
        <v>8.4523235516947067E-5</v>
      </c>
      <c r="AW25" s="687"/>
      <c r="AX25" s="687"/>
      <c r="AY25" s="687"/>
      <c r="AZ25" s="687"/>
      <c r="BA25" s="687"/>
      <c r="BB25" s="689">
        <f>_xll.xlInterpKruger(_xll.ohFilter($G$11:$G$89,$BC$11:$BC$89),_xll.ohFilter($AD$11:$AD$89,$BC$11:$BC$89),$G25)</f>
        <v>-2.6609832099804202E-3</v>
      </c>
      <c r="BC25" s="695" t="b">
        <v>0</v>
      </c>
      <c r="BE25" s="706">
        <f>_xll.xlDateShiftMonth(BE24,1)</f>
        <v>43613</v>
      </c>
      <c r="BF25" s="707">
        <v>-3.664616460828129E-3</v>
      </c>
      <c r="BU25" s="133" t="s">
        <v>599</v>
      </c>
      <c r="BV25" s="133" t="s">
        <v>599</v>
      </c>
      <c r="BW25" s="133" t="s">
        <v>599</v>
      </c>
      <c r="BX25" s="133" t="s">
        <v>599</v>
      </c>
      <c r="BY25" s="133" t="s">
        <v>599</v>
      </c>
      <c r="BZ25" s="133" t="s">
        <v>599</v>
      </c>
      <c r="CA25" s="133" t="s">
        <v>599</v>
      </c>
      <c r="CB25" s="133" t="s">
        <v>599</v>
      </c>
      <c r="CC25" s="133" t="s">
        <v>599</v>
      </c>
      <c r="CD25" s="133" t="s">
        <v>599</v>
      </c>
      <c r="CE25" s="133" t="s">
        <v>599</v>
      </c>
      <c r="CF25" s="133" t="s">
        <v>599</v>
      </c>
    </row>
    <row r="26" spans="1:84">
      <c r="A26" s="28" t="s">
        <v>41</v>
      </c>
      <c r="B26" s="28"/>
      <c r="C26" s="29"/>
      <c r="D26" s="720">
        <f>MAX(_xll.xlDateSettle("TARGET",$D$4,2),L26)</f>
        <v>43179</v>
      </c>
      <c r="E26" s="710" t="s">
        <v>1629</v>
      </c>
      <c r="F26" s="22" t="s">
        <v>1179</v>
      </c>
      <c r="G26" s="673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1209</v>
      </c>
      <c r="O26" s="21" t="s">
        <v>1178</v>
      </c>
      <c r="P26" s="21" t="s">
        <v>1210</v>
      </c>
      <c r="Q26" s="24">
        <v>12701000000</v>
      </c>
      <c r="R26" s="21"/>
      <c r="S26" s="42">
        <f>_xll.RtGet("IDN",$X26,$S$9)</f>
        <v>100.33500000000001</v>
      </c>
      <c r="T26" s="42">
        <f>_xll.RtGet("IDN",$X26,$T$9)</f>
        <v>100.34400000000001</v>
      </c>
      <c r="U26" s="95">
        <f t="shared" si="9"/>
        <v>100.33950000000002</v>
      </c>
      <c r="V26" s="21"/>
      <c r="W26" s="25">
        <f t="shared" si="2"/>
        <v>100.33950000000002</v>
      </c>
      <c r="X26" s="23" t="str">
        <f t="shared" si="3"/>
        <v>IT528927=TT</v>
      </c>
      <c r="Y26" s="23"/>
      <c r="Z26" s="23"/>
      <c r="AA26" s="23"/>
      <c r="AB26" s="23"/>
      <c r="AC26" s="23"/>
      <c r="AD26" s="33">
        <f>IF(ISNUMBER($D26),_xll.xlBondYield($F26,$H26,$G26,$J26,$K26,$L26,$M26,$D26,$W26,IF(NOT($H26),TRUE,FALSE)),"")</f>
        <v>-2.0980951496581048E-3</v>
      </c>
      <c r="AE26" s="12"/>
      <c r="AF26" s="12"/>
      <c r="AG26" s="12"/>
      <c r="AH26" s="14"/>
      <c r="AI26" s="14"/>
      <c r="AJ26" s="14"/>
      <c r="AK26" s="246">
        <f>IF(ISNUMBER($D26),_xll.xlBondAswSpread($F26&amp;T(TYPE($AV$1)),$H26,$G26,$J26,$K26,$L26,$M26,$D26,$W26,IF(NOT($H26),TRUE,FALSE),curveName,curveName,,,2),"")</f>
        <v>8.3399653986878566E-3</v>
      </c>
      <c r="AL26" s="213">
        <f>IF($W26&gt;0,_xll.xlBondZSpread(F26&amp;T(TYPE($AV$1)),H26,G26,J26,K26,L26,M26,D26,U26,"annual",5,IF(NOT($H26),TRUE,FALSE),curveName)*100,"")</f>
        <v>0.83942188182845723</v>
      </c>
      <c r="AM26" s="266" t="e">
        <f>(-IF($AL$9="",VLOOKUP(VLOOKUP(E26,'DB Basis'!$D$2:$H$65205,4,0),Bonds!$AR$1:$AS$6,2,0),$AL$9)*VLOOKUP(E26,'DB Basis'!$D$2:$E$65205,2,0))+IF(V26="",W26,V26)</f>
        <v>#N/A</v>
      </c>
      <c r="AN26" s="274" t="str">
        <f>IF($AN$9+(($AL$9-$AM$9))*('DB Basis'!F185/10-'DB Basis'!E185),," ")</f>
        <v xml:space="preserve"> </v>
      </c>
      <c r="AO26" s="639">
        <f>IF(U26&gt;0,_xll.xlShmImplSwap2(curveName&amp;T(TYPE($AV$1)),curveName,D26,G26,,1,8,2,4),"")</f>
        <v>-2.1857366939584317E-3</v>
      </c>
      <c r="AP26" s="640">
        <f t="shared" si="4"/>
        <v>8.764154430032688E-5</v>
      </c>
      <c r="AQ26" s="386">
        <f t="shared" si="5"/>
        <v>116.40210736930629</v>
      </c>
      <c r="AR26" s="386">
        <f t="shared" si="6"/>
        <v>106.78452858334738</v>
      </c>
      <c r="AS26" s="388"/>
      <c r="AT26" s="242">
        <f t="shared" si="7"/>
        <v>-0.20693541202107335</v>
      </c>
      <c r="AU26" s="699" t="str">
        <f t="shared" si="1"/>
        <v>CTZ  30-Oct-19  0</v>
      </c>
      <c r="AV26" s="703">
        <f t="shared" si="8"/>
        <v>4.4185168057072092E-4</v>
      </c>
      <c r="AW26" s="687"/>
      <c r="AX26" s="687"/>
      <c r="AY26" s="687"/>
      <c r="AZ26" s="687"/>
      <c r="BA26" s="687"/>
      <c r="BB26" s="689">
        <f>_xll.xlInterpKruger(_xll.ohFilter($G$11:$G$89,$BC$11:$BC$89),_xll.ohFilter($AD$11:$AD$89,$BC$11:$BC$89),$G26)</f>
        <v>-2.5399468302288257E-3</v>
      </c>
      <c r="BC26" s="695" t="b">
        <v>0</v>
      </c>
      <c r="BE26" s="706">
        <f>_xll.xlDateShiftMonth(BE25,1)</f>
        <v>43644</v>
      </c>
      <c r="BF26" s="707">
        <v>-3.4749470260812204E-3</v>
      </c>
      <c r="BU26" s="133" t="s">
        <v>599</v>
      </c>
      <c r="BV26" s="133" t="s">
        <v>599</v>
      </c>
      <c r="BW26" s="133" t="s">
        <v>599</v>
      </c>
      <c r="BX26" s="133" t="s">
        <v>599</v>
      </c>
      <c r="BY26" s="133" t="s">
        <v>599</v>
      </c>
      <c r="BZ26" s="133" t="s">
        <v>599</v>
      </c>
      <c r="CA26" s="133" t="s">
        <v>599</v>
      </c>
      <c r="CB26" s="133" t="s">
        <v>599</v>
      </c>
      <c r="CC26" s="133" t="s">
        <v>599</v>
      </c>
      <c r="CD26" s="133" t="s">
        <v>599</v>
      </c>
      <c r="CE26" s="133" t="s">
        <v>599</v>
      </c>
      <c r="CF26" s="133" t="s">
        <v>599</v>
      </c>
    </row>
    <row r="27" spans="1:84">
      <c r="A27" s="20" t="s">
        <v>39</v>
      </c>
      <c r="B27" s="20"/>
      <c r="C27" s="77"/>
      <c r="D27" s="720">
        <f>MAX(_xll.xlDateSettle("TARGET",$D$4,2),L27)</f>
        <v>43179</v>
      </c>
      <c r="E27" s="714" t="s">
        <v>587</v>
      </c>
      <c r="F27" s="107" t="s">
        <v>1177</v>
      </c>
      <c r="G27" s="677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1211</v>
      </c>
      <c r="O27" s="106" t="s">
        <v>1178</v>
      </c>
      <c r="P27" s="106" t="s">
        <v>1212</v>
      </c>
      <c r="Q27" s="109">
        <v>15470969000</v>
      </c>
      <c r="R27" s="106"/>
      <c r="S27" s="110">
        <f>_xll.RtGet("IDN",$X27,$S$9)</f>
        <v>102.17</v>
      </c>
      <c r="T27" s="110">
        <f>_xll.RtGet("IDN",$X27,$T$9)</f>
        <v>102.19</v>
      </c>
      <c r="U27" s="95">
        <f t="shared" si="9"/>
        <v>102.18</v>
      </c>
      <c r="V27" s="21"/>
      <c r="W27" s="25">
        <f t="shared" si="2"/>
        <v>102.18</v>
      </c>
      <c r="X27" s="23" t="str">
        <f t="shared" si="3"/>
        <v>IT506939=TT</v>
      </c>
      <c r="Y27" s="23"/>
      <c r="Z27" s="23"/>
      <c r="AA27" s="23"/>
      <c r="AB27" s="23"/>
      <c r="AC27" s="23"/>
      <c r="AD27" s="33">
        <f>IF(ISNUMBER($D27),_xll.xlBondYield($F27,$H27,$G27,$J27,$K27,$L27,$M27,$D27,$W27,IF(NOT($H27),TRUE,FALSE)),"")</f>
        <v>-2.281684420327933E-3</v>
      </c>
      <c r="AE27" s="12"/>
      <c r="AF27" s="12"/>
      <c r="AG27" s="12"/>
      <c r="AH27" s="14"/>
      <c r="AI27" s="14"/>
      <c r="AJ27" s="14"/>
      <c r="AK27" s="246">
        <f>IF(ISNUMBER($D27),_xll.xlBondAswSpread($F27&amp;T(TYPE($AV$1)),$H27,$G27,$J27,$K27,$L27,$M27,$D27,$W27,IF(NOT($H27),TRUE,FALSE),curveName,curveName,,,2),"")</f>
        <v>-1.8914646910439471E-2</v>
      </c>
      <c r="AL27" s="213">
        <f>IF($W27&gt;0,_xll.xlBondZSpread(F27&amp;T(TYPE($AV$1)),H27,G27,J27,K27,L27,M27,D27,U27,"annual",5,IF(NOT($H27),TRUE,FALSE),curveName)*100,"")</f>
        <v>-1.8931715204962534</v>
      </c>
      <c r="AM27" s="266">
        <f>(-IF($AL$9="",VLOOKUP(VLOOKUP(E27,'DB Basis'!$D$2:$H$65205,4,0),Bonds!$AR$1:$AS$6,2,0),$AL$9)*VLOOKUP(E27,'DB Basis'!$D$2:$E$65205,2,0))+IF(V27="",W27,V27)</f>
        <v>23.854625000000013</v>
      </c>
      <c r="AN27" s="274" t="str">
        <f>IF($AN$9+(($AL$9-$AM$9))*('DB Basis'!F186/10-'DB Basis'!E186),," ")</f>
        <v xml:space="preserve"> </v>
      </c>
      <c r="AO27" s="639">
        <f>IF(U27&gt;0,_xll.xlShmImplSwap2(curveName&amp;T(TYPE($AV$1)),curveName,D27,G27,,1,8,2,4),"")</f>
        <v>-2.0924793779675687E-3</v>
      </c>
      <c r="AP27" s="640">
        <f t="shared" si="4"/>
        <v>-1.8920504236036436E-4</v>
      </c>
      <c r="AQ27" s="386">
        <f t="shared" si="5"/>
        <v>-20.940651185777281</v>
      </c>
      <c r="AR27" s="386">
        <f t="shared" si="6"/>
        <v>-31.577813790985097</v>
      </c>
      <c r="AS27" s="388"/>
      <c r="AT27" s="242">
        <f t="shared" si="7"/>
        <v>-0.22504284693645368</v>
      </c>
      <c r="AU27" s="699" t="str">
        <f t="shared" si="1"/>
        <v>BTP  01-Dec-19  1.05</v>
      </c>
      <c r="AV27" s="703">
        <f t="shared" si="8"/>
        <v>0</v>
      </c>
      <c r="AW27" s="687"/>
      <c r="AX27" s="687"/>
      <c r="AY27" s="687"/>
      <c r="AZ27" s="687"/>
      <c r="BA27" s="687"/>
      <c r="BB27" s="689">
        <f>_xll.xlInterpKruger(_xll.ohFilter($G$11:$G$89,$BC$11:$BC$89),_xll.ohFilter($AD$11:$AD$89,$BC$11:$BC$89),$G27)</f>
        <v>-2.281684420327933E-3</v>
      </c>
      <c r="BC27" s="695" t="b">
        <v>1</v>
      </c>
      <c r="BE27" s="706">
        <f>_xll.xlDateShiftMonth(BE26,1)</f>
        <v>43674</v>
      </c>
      <c r="BF27" s="707">
        <v>-3.2692961979398898E-3</v>
      </c>
      <c r="BU27" s="133" t="s">
        <v>599</v>
      </c>
      <c r="BV27" s="133" t="s">
        <v>599</v>
      </c>
      <c r="BW27" s="133" t="s">
        <v>599</v>
      </c>
      <c r="BX27" s="133" t="s">
        <v>599</v>
      </c>
      <c r="BY27" s="133" t="s">
        <v>599</v>
      </c>
      <c r="BZ27" s="133" t="s">
        <v>599</v>
      </c>
      <c r="CA27" s="133" t="s">
        <v>599</v>
      </c>
      <c r="CB27" s="133" t="s">
        <v>599</v>
      </c>
      <c r="CC27" s="133" t="s">
        <v>599</v>
      </c>
      <c r="CD27" s="133" t="s">
        <v>599</v>
      </c>
      <c r="CE27" s="133" t="s">
        <v>599</v>
      </c>
      <c r="CF27" s="133" t="s">
        <v>599</v>
      </c>
    </row>
    <row r="28" spans="1:84">
      <c r="A28" s="28" t="s">
        <v>566</v>
      </c>
      <c r="B28" s="28"/>
      <c r="C28" s="29"/>
      <c r="D28" s="720">
        <f>MAX(_xll.xlDateSettle("TARGET",$D$4,2),L28)</f>
        <v>43179</v>
      </c>
      <c r="E28" s="710" t="s">
        <v>700</v>
      </c>
      <c r="F28" s="22" t="s">
        <v>1177</v>
      </c>
      <c r="G28" s="673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1213</v>
      </c>
      <c r="O28" s="21" t="s">
        <v>1178</v>
      </c>
      <c r="P28" s="21" t="s">
        <v>1214</v>
      </c>
      <c r="Q28" s="24">
        <v>23409650000</v>
      </c>
      <c r="R28" s="21"/>
      <c r="S28" s="42">
        <f>_xll.RtGet("IDN",$X28,$S$9)</f>
        <v>108.77</v>
      </c>
      <c r="T28" s="42">
        <f>_xll.RtGet("IDN",$X28,$T$9)</f>
        <v>108.79</v>
      </c>
      <c r="U28" s="95">
        <f t="shared" si="9"/>
        <v>108.78</v>
      </c>
      <c r="V28" s="21"/>
      <c r="W28" s="25">
        <f>IF(V28="",U28,V28)</f>
        <v>108.78</v>
      </c>
      <c r="X28" s="23" t="str">
        <f t="shared" si="3"/>
        <v>IT364476=TT</v>
      </c>
      <c r="Y28" s="23"/>
      <c r="Z28" s="23"/>
      <c r="AA28" s="23"/>
      <c r="AB28" s="23"/>
      <c r="AC28" s="23"/>
      <c r="AD28" s="33">
        <f>IF(ISNUMBER($D28),_xll.xlBondYield($F28,$H28,$G28,$J28,$K28,$L28,$M28,$D28,$W28,IF(NOT($H28),TRUE,FALSE)),"")</f>
        <v>-1.8379841940766237E-3</v>
      </c>
      <c r="AE28" s="12"/>
      <c r="AF28" s="12"/>
      <c r="AG28" s="12"/>
      <c r="AH28" s="14"/>
      <c r="AI28" s="14"/>
      <c r="AJ28" s="14"/>
      <c r="AK28" s="246">
        <f>IF(ISNUMBER($D28),_xll.xlBondAswSpread($F28&amp;T(TYPE($AV$1)),$H28,$G28,$J28,$K28,$L28,$M28,$D28,$W28,IF(NOT($H28),TRUE,FALSE),curveName,curveName,,,2),"")</f>
        <v>5.2686126566546081E-3</v>
      </c>
      <c r="AL28" s="213">
        <f>IF($W28&gt;0,_xll.xlBondZSpread(F28&amp;T(TYPE($AV$1)),H28,G28,J28,K28,L28,M28,D28,U28,"annual",5,IF(NOT($H28),TRUE,FALSE),curveName)*100,"")</f>
        <v>0.50336131898802694</v>
      </c>
      <c r="AM28" s="266">
        <f>(-IF($AL$9="",VLOOKUP(VLOOKUP(E28,'DB Basis'!$D$2:$H$65205,4,0),Bonds!$AR$1:$AS$6,2,0),$AL$9)*VLOOKUP(E28,'DB Basis'!$D$2:$E$65205,2,0))+IF(V28="",W28,V28)</f>
        <v>19.329499999999996</v>
      </c>
      <c r="AN28" s="274" t="str">
        <f>IF($AN$9+(($AL$9-$AM$9))*('DB Basis'!F187/10-'DB Basis'!E187),," ")</f>
        <v xml:space="preserve"> </v>
      </c>
      <c r="AO28" s="639">
        <f>IF(U28&gt;0,_xll.xlShmImplSwap2(curveName&amp;T(TYPE($AV$1)),curveName,D28,G28,,1,8,2,4),"")</f>
        <v>-1.8771925479140689E-3</v>
      </c>
      <c r="AP28" s="640">
        <f t="shared" si="4"/>
        <v>3.9208353837445233E-5</v>
      </c>
      <c r="AQ28" s="386">
        <f t="shared" si="5"/>
        <v>26.121061706730313</v>
      </c>
      <c r="AR28" s="386">
        <f t="shared" si="6"/>
        <v>13.446917679387177</v>
      </c>
      <c r="AS28" s="388"/>
      <c r="AT28" s="242">
        <f t="shared" si="7"/>
        <v>-0.18128063284043414</v>
      </c>
      <c r="AU28" s="699" t="str">
        <f t="shared" si="1"/>
        <v>BTP  01-Feb-20  4.5</v>
      </c>
      <c r="AV28" s="703">
        <f t="shared" si="8"/>
        <v>-1.1142151321024579E-4</v>
      </c>
      <c r="AW28" s="687"/>
      <c r="AX28" s="687"/>
      <c r="AY28" s="687"/>
      <c r="AZ28" s="687"/>
      <c r="BA28" s="687"/>
      <c r="BB28" s="689">
        <f>_xll.xlInterpKruger(_xll.ohFilter($G$11:$G$89,$BC$11:$BC$89),_xll.ohFilter($AD$11:$AD$89,$BC$11:$BC$89),$G28)</f>
        <v>-1.7265626808663779E-3</v>
      </c>
      <c r="BC28" s="695" t="b">
        <v>0</v>
      </c>
      <c r="BE28" s="706">
        <f>_xll.xlDateShiftMonth(BE27,1)</f>
        <v>43705</v>
      </c>
      <c r="BF28" s="707">
        <v>-3.0393257095589141E-3</v>
      </c>
      <c r="BU28" s="133" t="s">
        <v>599</v>
      </c>
      <c r="BV28" s="133" t="s">
        <v>599</v>
      </c>
      <c r="BW28" s="133" t="s">
        <v>599</v>
      </c>
      <c r="BX28" s="133" t="s">
        <v>599</v>
      </c>
      <c r="BY28" s="133" t="s">
        <v>599</v>
      </c>
      <c r="BZ28" s="133" t="s">
        <v>599</v>
      </c>
      <c r="CA28" s="133" t="s">
        <v>599</v>
      </c>
      <c r="CB28" s="133" t="s">
        <v>599</v>
      </c>
      <c r="CC28" s="133" t="s">
        <v>599</v>
      </c>
      <c r="CD28" s="133" t="s">
        <v>599</v>
      </c>
      <c r="CE28" s="133" t="s">
        <v>599</v>
      </c>
      <c r="CF28" s="133" t="s">
        <v>599</v>
      </c>
    </row>
    <row r="29" spans="1:84">
      <c r="A29" s="10"/>
      <c r="B29" s="11"/>
      <c r="C29" s="85"/>
      <c r="D29" s="720">
        <f>MAX(_xll.xlDateSettle("TARGET",$D$4,2),L29)</f>
        <v>43179</v>
      </c>
      <c r="E29" s="716" t="s">
        <v>701</v>
      </c>
      <c r="F29" s="87" t="s">
        <v>1177</v>
      </c>
      <c r="G29" s="679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1215</v>
      </c>
      <c r="O29" s="85" t="s">
        <v>1178</v>
      </c>
      <c r="P29" s="85" t="s">
        <v>1216</v>
      </c>
      <c r="Q29" s="89">
        <v>24330808000</v>
      </c>
      <c r="R29" s="85"/>
      <c r="S29" s="90">
        <f>_xll.RtGet("IDN",$X29,$S$9)</f>
        <v>108.59</v>
      </c>
      <c r="T29" s="90">
        <f>_xll.RtGet("IDN",$X29,$T$9)</f>
        <v>108.61</v>
      </c>
      <c r="U29" s="95">
        <f t="shared" si="9"/>
        <v>108.6</v>
      </c>
      <c r="V29" s="21"/>
      <c r="W29" s="25">
        <f>IF(V29="",U29,V29)</f>
        <v>108.6</v>
      </c>
      <c r="X29" s="23" t="str">
        <f t="shared" si="3"/>
        <v>IT453694=TT</v>
      </c>
      <c r="Y29" s="23"/>
      <c r="Z29" s="23"/>
      <c r="AA29" s="23"/>
      <c r="AB29" s="23"/>
      <c r="AC29" s="23"/>
      <c r="AD29" s="33">
        <f>IF(ISNUMBER($D29),_xll.xlBondYield($F29,$H29,$G29,$J29,$K29,$L29,$M29,$D29,$W29,IF(NOT($H29),TRUE,FALSE)),"")</f>
        <v>-1.5522472304850057E-3</v>
      </c>
      <c r="AE29" s="12"/>
      <c r="AF29" s="12"/>
      <c r="AG29" s="12"/>
      <c r="AH29" s="14"/>
      <c r="AI29" s="14"/>
      <c r="AJ29" s="14"/>
      <c r="AK29" s="246">
        <f>IF(ISNUMBER($D29),_xll.xlBondAswSpread($F29&amp;T(TYPE($AV$1)),$H29,$G29,$J29,$K29,$L29,$M29,$D29,$W29,IF(NOT($H29),TRUE,FALSE),curveName,curveName,,,2),"")</f>
        <v>2.455961634186964E-2</v>
      </c>
      <c r="AL29" s="213">
        <f>IF($W29&gt;0,_xll.xlBondZSpread(F29&amp;T(TYPE($AV$1)),H29,G29,J29,K29,L29,M29,D29,U29,"annual",5,IF(NOT($H29),TRUE,FALSE),curveName)*100,"")</f>
        <v>2.3600169539713534</v>
      </c>
      <c r="AM29" s="266">
        <f>(-IF($AL$9="",VLOOKUP(VLOOKUP(E29,'DB Basis'!$D$2:$H$65205,4,0),Bonds!$AR$1:$AS$6,2,0),$AL$9)*VLOOKUP(E29,'DB Basis'!$D$2:$E$65205,2,0))+IF(V29="",W29,V29)</f>
        <v>15.890625</v>
      </c>
      <c r="AN29" s="274" t="str">
        <f>IF($AN$9+(($AL$9-$AM$9))*('DB Basis'!F188/10-'DB Basis'!E188),," ")</f>
        <v xml:space="preserve"> </v>
      </c>
      <c r="AO29" s="639">
        <f>IF(U29&gt;0,_xll.xlShmImplSwap2(curveName&amp;T(TYPE($AV$1)),curveName,D29,G29,,1,8,2,4),"")</f>
        <v>-1.7742194441341737E-3</v>
      </c>
      <c r="AP29" s="640">
        <f t="shared" si="4"/>
        <v>2.2197221364916799E-4</v>
      </c>
      <c r="AQ29" s="386">
        <f t="shared" si="5"/>
        <v>35.963445417565701</v>
      </c>
      <c r="AR29" s="386">
        <f t="shared" si="6"/>
        <v>23.003037528027175</v>
      </c>
      <c r="AS29" s="388"/>
      <c r="AT29" s="242">
        <f t="shared" si="7"/>
        <v>-0.15309835697934301</v>
      </c>
      <c r="AU29" s="698" t="str">
        <f t="shared" si="1"/>
        <v>BTP  01-Mar-20  4.25</v>
      </c>
      <c r="AV29" s="703">
        <f t="shared" si="8"/>
        <v>-1.0868256003334839E-4</v>
      </c>
      <c r="AW29" s="687"/>
      <c r="AX29" s="687"/>
      <c r="AY29" s="687"/>
      <c r="AZ29" s="687"/>
      <c r="BA29" s="687"/>
      <c r="BB29" s="689">
        <f>_xll.xlInterpKruger(_xll.ohFilter($G$11:$G$89,$BC$11:$BC$89),_xll.ohFilter($AD$11:$AD$89,$BC$11:$BC$89),$G29)</f>
        <v>-1.4435646704516573E-3</v>
      </c>
      <c r="BC29" s="695" t="b">
        <v>0</v>
      </c>
      <c r="BE29" s="706">
        <f>_xll.xlDateShiftMonth(BE28,1)</f>
        <v>43736</v>
      </c>
      <c r="BF29" s="707">
        <v>-2.7970641335585029E-3</v>
      </c>
      <c r="BU29" s="133" t="s">
        <v>599</v>
      </c>
      <c r="BV29" s="133" t="s">
        <v>599</v>
      </c>
      <c r="BW29" s="133" t="s">
        <v>599</v>
      </c>
      <c r="BX29" s="133" t="s">
        <v>599</v>
      </c>
      <c r="BY29" s="133" t="s">
        <v>599</v>
      </c>
      <c r="BZ29" s="133" t="s">
        <v>599</v>
      </c>
      <c r="CA29" s="133" t="s">
        <v>599</v>
      </c>
      <c r="CB29" s="133" t="s">
        <v>599</v>
      </c>
      <c r="CC29" s="133" t="s">
        <v>599</v>
      </c>
      <c r="CD29" s="133" t="s">
        <v>599</v>
      </c>
      <c r="CE29" s="133" t="s">
        <v>599</v>
      </c>
      <c r="CF29" s="133" t="s">
        <v>599</v>
      </c>
    </row>
    <row r="30" spans="1:84">
      <c r="A30" s="30"/>
      <c r="B30" s="28"/>
      <c r="C30" s="29"/>
      <c r="D30" s="720">
        <f>MAX(_xll.xlDateSettle("TARGET",$D$4,2),L30)</f>
        <v>43179</v>
      </c>
      <c r="E30" s="715" t="s">
        <v>751</v>
      </c>
      <c r="F30" s="98" t="s">
        <v>1177</v>
      </c>
      <c r="G30" s="678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1217</v>
      </c>
      <c r="O30" s="97" t="s">
        <v>1178</v>
      </c>
      <c r="P30" s="97" t="s">
        <v>1218</v>
      </c>
      <c r="Q30" s="100">
        <v>16458150000</v>
      </c>
      <c r="R30" s="97"/>
      <c r="S30" s="73">
        <f>_xll.RtGet("IDN",$X30,$S$9)</f>
        <v>101.67</v>
      </c>
      <c r="T30" s="73">
        <f>_xll.RtGet("IDN",$X30,$T$9)</f>
        <v>101.69</v>
      </c>
      <c r="U30" s="95">
        <f t="shared" si="9"/>
        <v>101.68</v>
      </c>
      <c r="V30" s="21"/>
      <c r="W30" s="25">
        <f t="shared" si="2"/>
        <v>101.68</v>
      </c>
      <c r="X30" s="23" t="str">
        <f t="shared" si="3"/>
        <v>IT510770=TT</v>
      </c>
      <c r="Y30" s="23"/>
      <c r="Z30" s="23"/>
      <c r="AA30" s="23"/>
      <c r="AB30" s="23"/>
      <c r="AC30" s="23"/>
      <c r="AD30" s="33">
        <f>IF(ISNUMBER($D30),_xll.xlBondYield($F30,$H30,$G30,$J30,$K30,$L30,$M30,$D30,$W30,IF(NOT($H30),TRUE,FALSE)),"")</f>
        <v>-9.2591395939307757E-4</v>
      </c>
      <c r="AE30" s="12"/>
      <c r="AF30" s="12"/>
      <c r="AG30" s="12"/>
      <c r="AH30" s="14"/>
      <c r="AI30" s="14"/>
      <c r="AJ30" s="14"/>
      <c r="AK30" s="246">
        <f>IF(ISNUMBER($D30),_xll.xlBondAswSpread($F30&amp;T(TYPE($AV$1)),$H30,$G30,$J30,$K30,$L30,$M30,$D30,$W30,IF(NOT($H30),TRUE,FALSE),curveName,curveName,,,2),"")</f>
        <v>5.9039339893880036E-2</v>
      </c>
      <c r="AL30" s="213">
        <f>IF($W30&gt;0,_xll.xlBondZSpread(F30&amp;T(TYPE($AV$1)),H30,G30,J30,K30,L30,M30,D30,U30,"annual",5,IF(NOT($H30),TRUE,FALSE),curveName)*100,"")</f>
        <v>5.9219092137500429</v>
      </c>
      <c r="AM30" s="266">
        <f>(-IF($AL$9="",VLOOKUP(VLOOKUP(E30,'DB Basis'!$D$2:$H$65205,4,0),Bonds!$AR$1:$AS$6,2,0),$AL$9)*VLOOKUP(E30,'DB Basis'!$D$2:$E$65205,2,0))+IF(V30="",W30,V30)</f>
        <v>5.3746250000000089</v>
      </c>
      <c r="AN30" s="274" t="str">
        <f>IF($AN$9+(($AL$9-$AM$9))*('DB Basis'!F189/10-'DB Basis'!E189),," ")</f>
        <v xml:space="preserve"> </v>
      </c>
      <c r="AO30" s="639">
        <f>IF(U30&gt;0,_xll.xlShmImplSwap2(curveName&amp;T(TYPE($AV$1)),curveName,D30,G30,,1,8,2,4),"")</f>
        <v>-1.5085462347488579E-3</v>
      </c>
      <c r="AP30" s="640">
        <f t="shared" si="4"/>
        <v>5.8263227535578031E-4</v>
      </c>
      <c r="AQ30" s="386">
        <f t="shared" si="5"/>
        <v>37.477318680090782</v>
      </c>
      <c r="AR30" s="386">
        <f t="shared" si="6"/>
        <v>21.580479102116964</v>
      </c>
      <c r="AS30" s="388"/>
      <c r="AT30" s="242">
        <f t="shared" si="7"/>
        <v>-9.1323020652467932E-2</v>
      </c>
      <c r="AU30" s="699" t="str">
        <f t="shared" si="1"/>
        <v>BTP  01-May-20  0.7</v>
      </c>
      <c r="AV30" s="703">
        <f t="shared" si="8"/>
        <v>-7.0014165057797478E-5</v>
      </c>
      <c r="AW30" s="687"/>
      <c r="AX30" s="687"/>
      <c r="AY30" s="687"/>
      <c r="AZ30" s="687"/>
      <c r="BA30" s="687"/>
      <c r="BB30" s="689">
        <f>_xll.xlInterpKruger(_xll.ohFilter($G$11:$G$89,$BC$11:$BC$89),_xll.ohFilter($AD$11:$AD$89,$BC$11:$BC$89),$G30)</f>
        <v>-8.5589979433528009E-4</v>
      </c>
      <c r="BC30" s="695" t="b">
        <v>0</v>
      </c>
      <c r="BE30" s="706">
        <f>_xll.xlDateShiftMonth(BE29,1)</f>
        <v>43766</v>
      </c>
      <c r="BF30" s="707">
        <v>-2.5561131994550051E-3</v>
      </c>
      <c r="BU30" s="133" t="s">
        <v>599</v>
      </c>
      <c r="BV30" s="133" t="s">
        <v>599</v>
      </c>
      <c r="BW30" s="133" t="s">
        <v>599</v>
      </c>
      <c r="BX30" s="133" t="s">
        <v>599</v>
      </c>
      <c r="BY30" s="133" t="s">
        <v>599</v>
      </c>
      <c r="BZ30" s="133" t="s">
        <v>599</v>
      </c>
      <c r="CA30" s="133" t="s">
        <v>599</v>
      </c>
      <c r="CB30" s="133" t="s">
        <v>599</v>
      </c>
      <c r="CC30" s="133" t="s">
        <v>599</v>
      </c>
      <c r="CD30" s="133" t="s">
        <v>599</v>
      </c>
      <c r="CE30" s="133" t="s">
        <v>599</v>
      </c>
      <c r="CF30" s="133" t="s">
        <v>599</v>
      </c>
    </row>
    <row r="31" spans="1:84" s="136" customFormat="1">
      <c r="A31" s="52"/>
      <c r="B31" s="53"/>
      <c r="C31" s="91" t="s">
        <v>80</v>
      </c>
      <c r="D31" s="720">
        <f>MAX(_xll.xlDateSettle("TARGET",$D$4,2),L31)</f>
        <v>43179</v>
      </c>
      <c r="E31" s="710" t="s">
        <v>993</v>
      </c>
      <c r="F31" s="22" t="s">
        <v>1177</v>
      </c>
      <c r="G31" s="673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1219</v>
      </c>
      <c r="O31" s="21" t="s">
        <v>1178</v>
      </c>
      <c r="P31" s="21" t="s">
        <v>1220</v>
      </c>
      <c r="Q31" s="24">
        <v>15882720000</v>
      </c>
      <c r="R31" s="21"/>
      <c r="S31" s="42">
        <f>_xll.RtGet("IDN",$X31,$S$9)</f>
        <v>100.88</v>
      </c>
      <c r="T31" s="42">
        <f>_xll.RtGet("IDN",$X31,$T$9)</f>
        <v>100.9</v>
      </c>
      <c r="U31" s="95">
        <f t="shared" si="9"/>
        <v>100.89</v>
      </c>
      <c r="V31" s="21"/>
      <c r="W31" s="25">
        <f t="shared" si="2"/>
        <v>100.89</v>
      </c>
      <c r="X31" s="23" t="str">
        <f t="shared" si="3"/>
        <v>IT525094=TT</v>
      </c>
      <c r="Y31" s="23"/>
      <c r="Z31" s="23"/>
      <c r="AA31" s="23"/>
      <c r="AB31" s="23"/>
      <c r="AC31" s="23"/>
      <c r="AD31" s="33">
        <f>IF(ISNUMBER($D31),_xll.xlBondYield($F31,$H31,$G31,$J31,$K31,$L31,$M31,$D31,$W31,IF(NOT($H31),TRUE,FALSE)),"")</f>
        <v>-4.7233142814361376E-4</v>
      </c>
      <c r="AE31" s="12"/>
      <c r="AF31" s="12"/>
      <c r="AG31" s="12"/>
      <c r="AH31" s="14"/>
      <c r="AI31" s="14"/>
      <c r="AJ31" s="14"/>
      <c r="AK31" s="246">
        <f>IF(ISNUMBER($D31),_xll.xlBondAswSpread($F31&amp;T(TYPE($AV$1)),$H31,$G31,$J31,$K31,$L31,$M31,$D31,$W31,IF(NOT($H31),TRUE,FALSE),curveName,curveName,,,2),"")</f>
        <v>8.6175041958772181E-2</v>
      </c>
      <c r="AL31" s="213">
        <f>IF($W31&gt;0,_xll.xlBondZSpread(F31&amp;T(TYPE($AV$1)),H31,G31,J31,K31,L31,M31,D31,U31,"annual",5,IF(NOT($H31),TRUE,FALSE),curveName)*100,"")</f>
        <v>8.6898303951311409</v>
      </c>
      <c r="AM31" s="266">
        <f>(-IF($AL$9="",VLOOKUP(VLOOKUP(E31,'DB Basis'!$D$2:$H$65205,4,0),Bonds!$AR$1:$AS$6,2,0),$AL$9)*VLOOKUP(E31,'DB Basis'!$D$2:$E$65205,2,0))+IF(V31="",W31,V31)</f>
        <v>0.20537124999999889</v>
      </c>
      <c r="AN31" s="274" t="str">
        <f>IF($AN$9+(($AL$9-$AM$9))*('DB Basis'!F190/10-'DB Basis'!E190),," ")</f>
        <v xml:space="preserve"> </v>
      </c>
      <c r="AO31" s="639">
        <f>IF(U31&gt;0,_xll.xlShmImplSwap2(curveName&amp;T(TYPE($AV$1)),curveName,D31,G31,,1,8,2,4),"")</f>
        <v>-1.3379717579946435E-3</v>
      </c>
      <c r="AP31" s="640">
        <f t="shared" si="4"/>
        <v>8.6564032985102972E-4</v>
      </c>
      <c r="AQ31" s="386">
        <f t="shared" si="5"/>
        <v>36.790583090234286</v>
      </c>
      <c r="AR31" s="386">
        <f t="shared" si="6"/>
        <v>22.955097753503566</v>
      </c>
      <c r="AS31" s="388"/>
      <c r="AT31" s="242">
        <f t="shared" si="7"/>
        <v>-4.6586113460739986E-2</v>
      </c>
      <c r="AU31" s="699" t="str">
        <f t="shared" si="1"/>
        <v>BTP  15-Jun-20  0.35</v>
      </c>
      <c r="AV31" s="703">
        <f t="shared" si="8"/>
        <v>0</v>
      </c>
      <c r="AW31" s="691"/>
      <c r="AX31" s="691"/>
      <c r="AY31" s="691"/>
      <c r="AZ31" s="691"/>
      <c r="BA31" s="691"/>
      <c r="BB31" s="689">
        <f>_xll.xlInterpKruger(_xll.ohFilter($G$11:$G$89,$BC$11:$BC$89),_xll.ohFilter($AD$11:$AD$89,$BC$11:$BC$89),$G31)</f>
        <v>-4.7233142814361376E-4</v>
      </c>
      <c r="BC31" s="695" t="b">
        <v>1</v>
      </c>
      <c r="BE31" s="706">
        <f>_xll.xlDateShiftMonth(BE30,1)</f>
        <v>43797</v>
      </c>
      <c r="BF31" s="708">
        <v>-2.3057813000057197E-3</v>
      </c>
      <c r="BU31" s="136" t="s">
        <v>599</v>
      </c>
      <c r="BV31" s="136" t="s">
        <v>599</v>
      </c>
      <c r="BW31" s="136" t="s">
        <v>599</v>
      </c>
      <c r="BX31" s="136" t="s">
        <v>599</v>
      </c>
      <c r="BY31" s="136" t="s">
        <v>599</v>
      </c>
      <c r="BZ31" s="136" t="s">
        <v>599</v>
      </c>
      <c r="CA31" s="136" t="s">
        <v>599</v>
      </c>
      <c r="CB31" s="136" t="s">
        <v>599</v>
      </c>
      <c r="CC31" s="136" t="s">
        <v>599</v>
      </c>
      <c r="CD31" s="136" t="s">
        <v>599</v>
      </c>
      <c r="CE31" s="136" t="s">
        <v>599</v>
      </c>
      <c r="CF31" s="136" t="s">
        <v>599</v>
      </c>
    </row>
    <row r="32" spans="1:84">
      <c r="A32" s="59"/>
      <c r="B32" s="60"/>
      <c r="C32" s="29"/>
      <c r="D32" s="720">
        <f>MAX(_xll.xlDateSettle("TARGET",$D$4,2),L32)</f>
        <v>43179</v>
      </c>
      <c r="E32" s="717" t="s">
        <v>702</v>
      </c>
      <c r="F32" s="112" t="s">
        <v>1177</v>
      </c>
      <c r="G32" s="680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1221</v>
      </c>
      <c r="O32" s="76" t="s">
        <v>1178</v>
      </c>
      <c r="P32" s="76" t="s">
        <v>1222</v>
      </c>
      <c r="Q32" s="114">
        <v>24922124000</v>
      </c>
      <c r="R32" s="76"/>
      <c r="S32" s="115">
        <f>_xll.RtGet("IDN",$X32,$S$9)</f>
        <v>109.81</v>
      </c>
      <c r="T32" s="115">
        <f>_xll.RtGet("IDN",$X32,$T$9)</f>
        <v>109.82000000000001</v>
      </c>
      <c r="U32" s="95">
        <f t="shared" si="9"/>
        <v>109.815</v>
      </c>
      <c r="V32" s="21"/>
      <c r="W32" s="25">
        <f t="shared" si="2"/>
        <v>109.815</v>
      </c>
      <c r="X32" s="23" t="str">
        <f t="shared" si="3"/>
        <v>IT459493=TT</v>
      </c>
      <c r="Y32" s="23"/>
      <c r="Z32" s="23"/>
      <c r="AA32" s="23"/>
      <c r="AB32" s="23"/>
      <c r="AC32" s="23"/>
      <c r="AD32" s="33">
        <f>IF(ISNUMBER($D32),_xll.xlBondYield($F32,$H32,$G32,$J32,$K32,$L32,$M32,$D32,$W32,IF(NOT($H32),TRUE,FALSE)),"")</f>
        <v>-8.2967286072772872E-5</v>
      </c>
      <c r="AE32" s="12"/>
      <c r="AF32" s="12"/>
      <c r="AG32" s="12"/>
      <c r="AH32" s="14"/>
      <c r="AI32" s="14"/>
      <c r="AJ32" s="14"/>
      <c r="AK32" s="246">
        <f>IF(ISNUMBER($D32),_xll.xlBondAswSpread($F32&amp;T(TYPE($AV$1)),$H32,$G32,$J32,$K32,$L32,$M32,$D32,$W32,IF(NOT($H32),TRUE,FALSE),curveName,curveName,,,2),"")</f>
        <v>8.5615334337345569E-2</v>
      </c>
      <c r="AL32" s="213">
        <f>IF($W32&gt;0,_xll.xlBondZSpread(F32&amp;T(TYPE($AV$1)),H32,G32,J32,K32,L32,M32,D32,U32,"annual",5,IF(NOT($H32),TRUE,FALSE),curveName)*100,"")</f>
        <v>8.2019226164557058</v>
      </c>
      <c r="AM32" s="266">
        <f>(-IF($AL$9="",VLOOKUP(VLOOKUP(E32,'DB Basis'!$D$2:$H$65205,4,0),Bonds!$AR$1:$AS$6,2,0),$AL$9)*VLOOKUP(E32,'DB Basis'!$D$2:$E$65205,2,0))+IF(V32="",W32,V32)</f>
        <v>1.8655522500000075</v>
      </c>
      <c r="AN32" s="274" t="str">
        <f>IF($AN$9+(($AL$9-$AM$9))*('DB Basis'!F191/10-'DB Basis'!E191),," ")</f>
        <v xml:space="preserve"> </v>
      </c>
      <c r="AO32" s="639">
        <f>IF(U32&gt;0,_xll.xlShmImplSwap2(curveName&amp;T(TYPE($AV$1)),curveName,D32,G32,,1,8,2,4),"")</f>
        <v>-8.5782595686144034E-4</v>
      </c>
      <c r="AP32" s="640">
        <f t="shared" si="4"/>
        <v>7.7485867078866746E-4</v>
      </c>
      <c r="AQ32" s="386">
        <f t="shared" si="5"/>
        <v>18.220245109725248</v>
      </c>
      <c r="AR32" s="386">
        <f t="shared" si="6"/>
        <v>-4.2481160971490031</v>
      </c>
      <c r="AS32" s="388"/>
      <c r="AT32" s="242">
        <f t="shared" si="7"/>
        <v>-8.1830747907392417E-3</v>
      </c>
      <c r="AU32" s="699" t="str">
        <f t="shared" si="1"/>
        <v>BTP  01-Sep-20  4</v>
      </c>
      <c r="AV32" s="703">
        <f t="shared" si="8"/>
        <v>-1.2389774248884339E-4</v>
      </c>
      <c r="AW32" s="687"/>
      <c r="AX32" s="687"/>
      <c r="AY32" s="687"/>
      <c r="AZ32" s="687"/>
      <c r="BA32" s="687"/>
      <c r="BB32" s="689">
        <f>_xll.xlInterpKruger(_xll.ohFilter($G$11:$G$89,$BC$11:$BC$89),_xll.ohFilter($AD$11:$AD$89,$BC$11:$BC$89),$G32)</f>
        <v>4.0930456416070522E-5</v>
      </c>
      <c r="BC32" s="695" t="b">
        <v>0</v>
      </c>
      <c r="BE32" s="706">
        <f>_xll.xlDateShiftMonth(BE31,1)</f>
        <v>43827</v>
      </c>
      <c r="BF32" s="707">
        <v>-2.0523682629131298E-3</v>
      </c>
      <c r="BU32" s="133" t="s">
        <v>599</v>
      </c>
      <c r="BV32" s="133" t="s">
        <v>599</v>
      </c>
      <c r="BW32" s="133" t="s">
        <v>599</v>
      </c>
      <c r="BX32" s="133" t="s">
        <v>599</v>
      </c>
      <c r="BY32" s="133" t="s">
        <v>599</v>
      </c>
      <c r="BZ32" s="133" t="s">
        <v>599</v>
      </c>
      <c r="CA32" s="133" t="s">
        <v>599</v>
      </c>
      <c r="CB32" s="133" t="s">
        <v>599</v>
      </c>
      <c r="CC32" s="133" t="s">
        <v>599</v>
      </c>
      <c r="CD32" s="133" t="s">
        <v>599</v>
      </c>
      <c r="CE32" s="133" t="s">
        <v>599</v>
      </c>
      <c r="CF32" s="133" t="s">
        <v>599</v>
      </c>
    </row>
    <row r="33" spans="1:84" s="137" customFormat="1">
      <c r="A33" s="61"/>
      <c r="B33" s="62"/>
      <c r="C33" s="92"/>
      <c r="D33" s="720">
        <f>MAX(_xll.xlDateSettle("TARGET",$D$4,2),L33)</f>
        <v>43179</v>
      </c>
      <c r="E33" s="710" t="s">
        <v>1630</v>
      </c>
      <c r="F33" s="22" t="s">
        <v>1177</v>
      </c>
      <c r="G33" s="673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1223</v>
      </c>
      <c r="O33" s="21" t="s">
        <v>1197</v>
      </c>
      <c r="P33" s="21" t="s">
        <v>1224</v>
      </c>
      <c r="Q33" s="24">
        <v>15951500000</v>
      </c>
      <c r="R33" s="21"/>
      <c r="S33" s="42">
        <f>_xll.RtGet("IDN",$X33,$S$9)</f>
        <v>100.37</v>
      </c>
      <c r="T33" s="42">
        <f>_xll.RtGet("IDN",$X33,$T$9)</f>
        <v>100.39</v>
      </c>
      <c r="U33" s="95">
        <f t="shared" si="9"/>
        <v>100.38</v>
      </c>
      <c r="V33" s="21"/>
      <c r="W33" s="25">
        <f t="shared" si="2"/>
        <v>100.38</v>
      </c>
      <c r="X33" s="23" t="str">
        <f t="shared" si="3"/>
        <v>IT528504=TT</v>
      </c>
      <c r="Y33" s="23"/>
      <c r="Z33" s="23"/>
      <c r="AA33" s="23"/>
      <c r="AB33" s="23"/>
      <c r="AC33" s="23"/>
      <c r="AD33" s="33">
        <f>IF(ISNUMBER($D33),_xll.xlBondYield($F33,$H33,$G33,$J33,$K33,$L33,$M33,$D33,$W33,IF(NOT($H33),TRUE,FALSE)),"")</f>
        <v>5.2111730862018733E-4</v>
      </c>
      <c r="AE33" s="12"/>
      <c r="AF33" s="12"/>
      <c r="AG33" s="12"/>
      <c r="AH33" s="14"/>
      <c r="AI33" s="14"/>
      <c r="AJ33" s="14"/>
      <c r="AK33" s="246">
        <f>IF(ISNUMBER($D33),_xll.xlBondAswSpread($F33&amp;T(TYPE($AV$1)),$H33,$G33,$J33,$K33,$L33,$M33,$D33,$W33,IF(NOT($H33),TRUE,FALSE),curveName,curveName,,,2),"")</f>
        <v>0.10848319955935931</v>
      </c>
      <c r="AL33" s="213">
        <f>IF($W33&gt;0,_xll.xlBondZSpread(F33&amp;T(TYPE($AV$1)),H33,G33,J33,K33,L33,M33,D33,U33,"annual",5,IF(NOT($H33),TRUE,FALSE),curveName)*100,"")</f>
        <v>11.017796343207012</v>
      </c>
      <c r="AM33" s="266">
        <f>(-IF($AL$9="",VLOOKUP(VLOOKUP(E33,'DB Basis'!$D$2:$H$65205,4,0),Bonds!$AR$1:$AS$6,2,0),$AL$9)*VLOOKUP(E33,'DB Basis'!$D$2:$E$65205,2,0))+IF(V33="",W33,V33)</f>
        <v>1.8679171249999911</v>
      </c>
      <c r="AN33" s="274" t="str">
        <f>IF($AN$9+(($AL$9-$AM$9))*('DB Basis'!F192/10-'DB Basis'!E192),," ")</f>
        <v xml:space="preserve"> </v>
      </c>
      <c r="AO33" s="639">
        <f>IF(U33&gt;0,_xll.xlShmImplSwap2(curveName&amp;T(TYPE($AV$1)),curveName,D33,G33,,1,8,2,4),"")</f>
        <v>-5.7658751954789119E-4</v>
      </c>
      <c r="AP33" s="640">
        <f t="shared" si="4"/>
        <v>1.0977048281680785E-3</v>
      </c>
      <c r="AQ33" s="386">
        <f t="shared" si="5"/>
        <v>50.111562968847835</v>
      </c>
      <c r="AR33" s="386">
        <f t="shared" si="6"/>
        <v>26.781556237155691</v>
      </c>
      <c r="AS33" s="388"/>
      <c r="AT33" s="242">
        <f t="shared" si="7"/>
        <v>5.1397871535141762E-2</v>
      </c>
      <c r="AU33" s="700" t="str">
        <f t="shared" si="1"/>
        <v>BTP  15-Oct-20  0.2</v>
      </c>
      <c r="AV33" s="703">
        <f t="shared" si="8"/>
        <v>1.9300770871869249E-4</v>
      </c>
      <c r="AW33" s="692"/>
      <c r="AX33" s="692"/>
      <c r="AY33" s="692"/>
      <c r="AZ33" s="692"/>
      <c r="BA33" s="692"/>
      <c r="BB33" s="689">
        <f>_xll.xlInterpKruger(_xll.ohFilter($G$11:$G$89,$BC$11:$BC$89),_xll.ohFilter($AD$11:$AD$89,$BC$11:$BC$89),$G33)</f>
        <v>3.2810959990149484E-4</v>
      </c>
      <c r="BC33" s="695" t="b">
        <v>0</v>
      </c>
      <c r="BE33" s="706">
        <f>_xll.xlDateShiftMonth(BE32,1)</f>
        <v>43858</v>
      </c>
      <c r="BF33" s="707">
        <v>-1.7649445747171181E-3</v>
      </c>
      <c r="BU33" s="137" t="s">
        <v>599</v>
      </c>
      <c r="BV33" s="137" t="s">
        <v>599</v>
      </c>
      <c r="BW33" s="137" t="s">
        <v>599</v>
      </c>
      <c r="BX33" s="137" t="s">
        <v>599</v>
      </c>
      <c r="BY33" s="137" t="s">
        <v>599</v>
      </c>
      <c r="BZ33" s="137" t="s">
        <v>599</v>
      </c>
      <c r="CA33" s="137" t="s">
        <v>599</v>
      </c>
      <c r="CB33" s="137" t="s">
        <v>599</v>
      </c>
      <c r="CC33" s="137" t="s">
        <v>599</v>
      </c>
      <c r="CD33" s="137" t="s">
        <v>599</v>
      </c>
      <c r="CE33" s="137" t="s">
        <v>599</v>
      </c>
      <c r="CF33" s="137" t="s">
        <v>599</v>
      </c>
    </row>
    <row r="34" spans="1:84" s="137" customFormat="1">
      <c r="A34" s="57"/>
      <c r="B34" s="58"/>
      <c r="C34" s="94"/>
      <c r="D34" s="720">
        <f>MAX(_xll.xlDateSettle("TARGET",$D$4,2),L34)</f>
        <v>43179</v>
      </c>
      <c r="E34" s="710" t="s">
        <v>802</v>
      </c>
      <c r="F34" s="22" t="s">
        <v>1177</v>
      </c>
      <c r="G34" s="673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1225</v>
      </c>
      <c r="O34" s="21" t="s">
        <v>1178</v>
      </c>
      <c r="P34" s="21" t="s">
        <v>1226</v>
      </c>
      <c r="Q34" s="24">
        <v>15068700000</v>
      </c>
      <c r="R34" s="21"/>
      <c r="S34" s="42">
        <f>_xll.RtGet("IDN",$X34,$S$9)</f>
        <v>101.57000000000001</v>
      </c>
      <c r="T34" s="42">
        <f>_xll.RtGet("IDN",$X34,$T$9)</f>
        <v>101.59</v>
      </c>
      <c r="U34" s="95">
        <f t="shared" si="9"/>
        <v>101.58000000000001</v>
      </c>
      <c r="V34" s="21"/>
      <c r="W34" s="25">
        <f t="shared" si="2"/>
        <v>101.58000000000001</v>
      </c>
      <c r="X34" s="23" t="str">
        <f t="shared" si="3"/>
        <v>IT514214=TT</v>
      </c>
      <c r="Y34" s="23"/>
      <c r="Z34" s="23"/>
      <c r="AA34" s="23"/>
      <c r="AB34" s="23"/>
      <c r="AC34" s="23"/>
      <c r="AD34" s="33">
        <f>IF(ISNUMBER($D34),_xll.xlBondYield($F34,$H34,$G34,$J34,$K34,$L34,$M34,$D34,$W34,IF(NOT($H34),TRUE,FALSE)),"")</f>
        <v>4.5552898881623567E-4</v>
      </c>
      <c r="AE34" s="12"/>
      <c r="AF34" s="12"/>
      <c r="AG34" s="12"/>
      <c r="AH34" s="14"/>
      <c r="AI34" s="14"/>
      <c r="AJ34" s="14"/>
      <c r="AK34" s="246">
        <f>IF(ISNUMBER($D34),_xll.xlBondAswSpread($F34&amp;T(TYPE($AV$1)),$H34,$G34,$J34,$K34,$L34,$M34,$D34,$W34,IF(NOT($H34),TRUE,FALSE),curveName,curveName,,,2),"")</f>
        <v>9.2523447748589949E-2</v>
      </c>
      <c r="AL34" s="213">
        <f>IF($W34&gt;0,_xll.xlBondZSpread(F34&amp;T(TYPE($AV$1)),H34,G34,J34,K34,L34,M34,D34,U34,"annual",5,IF(NOT($H34),TRUE,FALSE),curveName)*100,"")</f>
        <v>9.3062617509640422</v>
      </c>
      <c r="AM34" s="266">
        <f>(-IF($AL$9="",VLOOKUP(VLOOKUP(E34,'DB Basis'!$D$2:$H$65205,4,0),Bonds!$AR$1:$AS$6,2,0),$AL$9)*VLOOKUP(E34,'DB Basis'!$D$2:$E$65205,2,0))+IF(V34="",W34,V34)</f>
        <v>2.2175755000000095</v>
      </c>
      <c r="AN34" s="274" t="str">
        <f>IF($AN$9+(($AL$9-$AM$9))*('DB Basis'!F193/10-'DB Basis'!E193),," ")</f>
        <v xml:space="preserve"> </v>
      </c>
      <c r="AO34" s="639">
        <f>IF(U34&gt;0,_xll.xlShmImplSwap2(curveName&amp;T(TYPE($AV$1)),curveName,D34,G34,,1,8,2,4),"")</f>
        <v>-4.5800398095831378E-4</v>
      </c>
      <c r="AP34" s="640">
        <f t="shared" si="4"/>
        <v>9.135329697745494E-4</v>
      </c>
      <c r="AQ34" s="386">
        <f t="shared" si="5"/>
        <v>-14.082198075554325</v>
      </c>
      <c r="AR34" s="386">
        <f t="shared" si="6"/>
        <v>-39.542781360963609</v>
      </c>
      <c r="AS34" s="388"/>
      <c r="AT34" s="242">
        <f t="shared" si="7"/>
        <v>4.4928886568176667E-2</v>
      </c>
      <c r="AU34" s="699" t="str">
        <f t="shared" si="1"/>
        <v>BTP  01-Nov-20  0.65</v>
      </c>
      <c r="AV34" s="703">
        <f t="shared" si="8"/>
        <v>0</v>
      </c>
      <c r="AW34" s="692"/>
      <c r="AX34" s="692"/>
      <c r="AY34" s="692"/>
      <c r="AZ34" s="692"/>
      <c r="BA34" s="692"/>
      <c r="BB34" s="689">
        <f>_xll.xlInterpKruger(_xll.ohFilter($G$11:$G$89,$BC$11:$BC$89),_xll.ohFilter($AD$11:$AD$89,$BC$11:$BC$89),$G34)</f>
        <v>4.5552898881623567E-4</v>
      </c>
      <c r="BC34" s="695" t="b">
        <v>1</v>
      </c>
      <c r="BE34" s="706">
        <f>_xll.xlDateShiftMonth(BE33,1)</f>
        <v>43889</v>
      </c>
      <c r="BF34" s="707">
        <v>-1.4632359498571643E-3</v>
      </c>
      <c r="BU34" s="137" t="s">
        <v>599</v>
      </c>
      <c r="BV34" s="137" t="s">
        <v>599</v>
      </c>
      <c r="BW34" s="137" t="s">
        <v>599</v>
      </c>
      <c r="BX34" s="137" t="s">
        <v>599</v>
      </c>
      <c r="BY34" s="137" t="s">
        <v>599</v>
      </c>
      <c r="BZ34" s="137" t="s">
        <v>599</v>
      </c>
      <c r="CA34" s="137" t="s">
        <v>599</v>
      </c>
      <c r="CB34" s="137" t="s">
        <v>599</v>
      </c>
      <c r="CC34" s="137" t="s">
        <v>599</v>
      </c>
      <c r="CD34" s="137" t="s">
        <v>599</v>
      </c>
      <c r="CE34" s="137" t="s">
        <v>599</v>
      </c>
      <c r="CF34" s="137" t="s">
        <v>599</v>
      </c>
    </row>
    <row r="35" spans="1:84" s="135" customFormat="1">
      <c r="A35" s="63"/>
      <c r="B35" s="64"/>
      <c r="C35" s="93"/>
      <c r="D35" s="720">
        <f>MAX(_xll.xlDateSettle("TARGET",$D$4,2),L35)</f>
        <v>43179</v>
      </c>
      <c r="E35" s="710" t="s">
        <v>703</v>
      </c>
      <c r="F35" s="22" t="s">
        <v>1177</v>
      </c>
      <c r="G35" s="673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1227</v>
      </c>
      <c r="O35" s="21" t="s">
        <v>1178</v>
      </c>
      <c r="P35" s="21" t="s">
        <v>1228</v>
      </c>
      <c r="Q35" s="24">
        <v>24268782000</v>
      </c>
      <c r="R35" s="21"/>
      <c r="S35" s="42">
        <f>_xll.RtGet("IDN",$X35,$S$9)</f>
        <v>110.63</v>
      </c>
      <c r="T35" s="42">
        <f>_xll.RtGet("IDN",$X35,$T$9)</f>
        <v>110.66</v>
      </c>
      <c r="U35" s="95">
        <f t="shared" si="9"/>
        <v>110.645</v>
      </c>
      <c r="V35" s="21"/>
      <c r="W35" s="25">
        <f>IF(V35="",U35,V35)</f>
        <v>110.645</v>
      </c>
      <c r="X35" s="23" t="str">
        <f t="shared" si="3"/>
        <v>IT463413=TT</v>
      </c>
      <c r="Y35" s="23"/>
      <c r="Z35" s="23"/>
      <c r="AA35" s="23"/>
      <c r="AB35" s="23"/>
      <c r="AC35" s="23"/>
      <c r="AD35" s="33">
        <f>IF(ISNUMBER($D35),_xll.xlBondYield($F35,$H35,$G35,$J35,$K35,$L35,$M35,$D35,$W35,IF(NOT($H35),TRUE,FALSE)),"")</f>
        <v>1.313665061344782E-3</v>
      </c>
      <c r="AE35" s="12"/>
      <c r="AF35" s="12"/>
      <c r="AG35" s="12"/>
      <c r="AH35" s="14"/>
      <c r="AI35" s="14"/>
      <c r="AJ35" s="14"/>
      <c r="AK35" s="246">
        <f>IF(ISNUMBER($D35),_xll.xlBondAswSpread($F35&amp;T(TYPE($AV$1)),$H35,$G35,$J35,$K35,$L35,$M35,$D35,$W35,IF(NOT($H35),TRUE,FALSE),curveName,curveName,,,2),"")</f>
        <v>0.11680350662010316</v>
      </c>
      <c r="AL35" s="213">
        <f>IF($W35&gt;0,_xll.xlBondZSpread(F35&amp;T(TYPE($AV$1)),H35,G35,J35,K35,L35,M35,D35,U35,"annual",5,IF(NOT($H35),TRUE,FALSE),curveName)*100,"")</f>
        <v>11.175958724408703</v>
      </c>
      <c r="AM35" s="266">
        <f>(-IF($AL$9="",VLOOKUP(VLOOKUP(E35,'DB Basis'!$D$2:$H$65205,4,0),Bonds!$AR$1:$AS$6,2,0),$AL$9)*VLOOKUP(E35,'DB Basis'!$D$2:$E$65205,2,0))+IF(V35="",W35,V35)</f>
        <v>4.3090325000000007</v>
      </c>
      <c r="AN35" s="274" t="str">
        <f>IF($AN$9+(($AL$9-$AM$9))*('DB Basis'!F194/10-'DB Basis'!E194),," ")</f>
        <v xml:space="preserve"> </v>
      </c>
      <c r="AO35" s="639">
        <f>IF(U35&gt;0,_xll.xlShmImplSwap2(curveName&amp;T(TYPE($AV$1)),curveName,D35,G35,,1,8,2,4),"")</f>
        <v>2.8061130034773036E-4</v>
      </c>
      <c r="AP35" s="640">
        <f t="shared" si="4"/>
        <v>1.0330537609970518E-3</v>
      </c>
      <c r="AQ35" s="386">
        <f t="shared" si="5"/>
        <v>26.101638872743283</v>
      </c>
      <c r="AR35" s="386">
        <f t="shared" si="6"/>
        <v>3.6354240663511135</v>
      </c>
      <c r="AS35" s="388"/>
      <c r="AT35" s="242">
        <f t="shared" si="7"/>
        <v>0.12956696495455383</v>
      </c>
      <c r="AU35" s="699" t="str">
        <f t="shared" si="1"/>
        <v>BTP  01-Mar-21  3.75</v>
      </c>
      <c r="AV35" s="703">
        <f t="shared" si="8"/>
        <v>-3.3705975006702001E-4</v>
      </c>
      <c r="AW35" s="693"/>
      <c r="AX35" s="693"/>
      <c r="AY35" s="693"/>
      <c r="AZ35" s="693"/>
      <c r="BA35" s="693"/>
      <c r="BB35" s="689">
        <f>_xll.xlInterpKruger(_xll.ohFilter($G$11:$G$89,$BC$11:$BC$89),_xll.ohFilter($AD$11:$AD$89,$BC$11:$BC$89),$G35)</f>
        <v>1.650724811411802E-3</v>
      </c>
      <c r="BC35" s="695" t="b">
        <v>0</v>
      </c>
      <c r="BE35" s="706">
        <f>_xll.xlDateShiftMonth(BE34,1)</f>
        <v>43918</v>
      </c>
      <c r="BF35" s="709">
        <v>-1.1787183645030725E-3</v>
      </c>
      <c r="BU35" s="135" t="s">
        <v>599</v>
      </c>
      <c r="BV35" s="135" t="s">
        <v>599</v>
      </c>
      <c r="BW35" s="135" t="s">
        <v>599</v>
      </c>
      <c r="BX35" s="135" t="s">
        <v>599</v>
      </c>
      <c r="BY35" s="135" t="s">
        <v>599</v>
      </c>
      <c r="BZ35" s="135" t="s">
        <v>599</v>
      </c>
      <c r="CA35" s="135" t="s">
        <v>599</v>
      </c>
      <c r="CB35" s="135" t="s">
        <v>599</v>
      </c>
      <c r="CC35" s="135" t="s">
        <v>599</v>
      </c>
      <c r="CD35" s="135" t="s">
        <v>599</v>
      </c>
      <c r="CE35" s="135" t="s">
        <v>599</v>
      </c>
      <c r="CF35" s="135" t="s">
        <v>599</v>
      </c>
    </row>
    <row r="36" spans="1:84">
      <c r="A36" s="30"/>
      <c r="B36" s="28"/>
      <c r="C36" s="29"/>
      <c r="D36" s="720">
        <f>MAX(_xll.xlDateSettle("TARGET",$D$4,2),L36)</f>
        <v>43179</v>
      </c>
      <c r="E36" s="710" t="s">
        <v>422</v>
      </c>
      <c r="F36" s="22" t="s">
        <v>1177</v>
      </c>
      <c r="G36" s="673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1229</v>
      </c>
      <c r="O36" s="21" t="s">
        <v>1178</v>
      </c>
      <c r="P36" s="21" t="s">
        <v>1230</v>
      </c>
      <c r="Q36" s="24">
        <v>18397553000</v>
      </c>
      <c r="R36" s="21"/>
      <c r="S36" s="42">
        <f>_xll.RtGet("IDN",$X36,$S$9)</f>
        <v>110.94</v>
      </c>
      <c r="T36" s="42">
        <f>_xll.RtGet("IDN",$X36,$T$9)</f>
        <v>110.97</v>
      </c>
      <c r="U36" s="95">
        <f t="shared" si="9"/>
        <v>110.955</v>
      </c>
      <c r="V36" s="21"/>
      <c r="W36" s="25">
        <f t="shared" si="2"/>
        <v>110.955</v>
      </c>
      <c r="X36" s="23" t="str">
        <f t="shared" si="3"/>
        <v>IT496640=TT</v>
      </c>
      <c r="Y36" s="23"/>
      <c r="Z36" s="23"/>
      <c r="AA36" s="23"/>
      <c r="AB36" s="23"/>
      <c r="AC36" s="23"/>
      <c r="AD36" s="33">
        <f>IF(ISNUMBER($D36),_xll.xlBondYield($F36,$H36,$G36,$J36,$K36,$L36,$M36,$D36,$W36,IF(NOT($H36),TRUE,FALSE)),"")</f>
        <v>2.1996206744192282E-3</v>
      </c>
      <c r="AE36" s="12"/>
      <c r="AF36" s="12"/>
      <c r="AG36" s="12"/>
      <c r="AH36" s="14"/>
      <c r="AI36" s="14"/>
      <c r="AJ36" s="14"/>
      <c r="AK36" s="246">
        <f>IF(ISNUMBER($D36),_xll.xlBondAswSpread($F36&amp;T(TYPE($AV$1)),$H36,$G36,$J36,$K36,$L36,$M36,$D36,$W36,IF(NOT($H36),TRUE,FALSE),curveName,curveName,,,2),"")</f>
        <v>0.17356322066609783</v>
      </c>
      <c r="AL36" s="213">
        <f>IF($W36&gt;0,_xll.xlBondZSpread(F36&amp;T(TYPE($AV$1)),H36,G36,J36,K36,L36,M36,D36,U36,"annual",5,IF(NOT($H36),TRUE,FALSE),curveName)*100,"")</f>
        <v>16.59583396823291</v>
      </c>
      <c r="AM36" s="266">
        <f>(-IF($AL$9="",VLOOKUP(VLOOKUP(E36,'DB Basis'!$D$2:$H$65205,4,0),Bonds!$AR$1:$AS$6,2,0),$AL$9)*VLOOKUP(E36,'DB Basis'!$D$2:$E$65205,2,0))+IF(V36="",W36,V36)</f>
        <v>4.9847007500000018</v>
      </c>
      <c r="AN36" s="274" t="str">
        <f>IF($AN$9+(($AL$9-$AM$9))*('DB Basis'!F195/10-'DB Basis'!E195),," ")</f>
        <v xml:space="preserve"> </v>
      </c>
      <c r="AO36" s="639">
        <f>IF(U36&gt;0,_xll.xlShmImplSwap2(curveName&amp;T(TYPE($AV$1)),curveName,D36,G36,,1,8,2,4),"")</f>
        <v>6.4571870305939845E-4</v>
      </c>
      <c r="AP36" s="640">
        <f t="shared" si="4"/>
        <v>1.5539019713598297E-3</v>
      </c>
      <c r="AQ36" s="386">
        <f t="shared" si="5"/>
        <v>53.012098159372599</v>
      </c>
      <c r="AR36" s="386">
        <f t="shared" si="6"/>
        <v>31.165507669248189</v>
      </c>
      <c r="AS36" s="388"/>
      <c r="AT36" s="242">
        <f t="shared" si="7"/>
        <v>0.21694888843586907</v>
      </c>
      <c r="AU36" s="700" t="str">
        <f t="shared" si="1"/>
        <v>BTP  01-May-21  3.75</v>
      </c>
      <c r="AV36" s="703">
        <f t="shared" si="8"/>
        <v>0</v>
      </c>
      <c r="AW36" s="687"/>
      <c r="AX36" s="687"/>
      <c r="AY36" s="687"/>
      <c r="AZ36" s="687"/>
      <c r="BA36" s="687"/>
      <c r="BB36" s="689">
        <f>_xll.xlInterpKruger(_xll.ohFilter($G$11:$G$89,$BC$11:$BC$89),_xll.ohFilter($AD$11:$AD$89,$BC$11:$BC$89),$G36)</f>
        <v>2.1996206744192282E-3</v>
      </c>
      <c r="BC36" s="695" t="b">
        <v>1</v>
      </c>
      <c r="BE36" s="706">
        <f>_xll.xlDateShiftMonth(BE35,1)</f>
        <v>43949</v>
      </c>
      <c r="BF36" s="707">
        <v>-8.8354128310149218E-4</v>
      </c>
      <c r="BU36" s="133" t="s">
        <v>599</v>
      </c>
      <c r="BV36" s="133" t="s">
        <v>599</v>
      </c>
      <c r="BW36" s="133" t="s">
        <v>599</v>
      </c>
      <c r="BX36" s="133" t="s">
        <v>599</v>
      </c>
      <c r="BY36" s="133" t="s">
        <v>599</v>
      </c>
      <c r="BZ36" s="133" t="s">
        <v>599</v>
      </c>
      <c r="CA36" s="133" t="s">
        <v>599</v>
      </c>
      <c r="CB36" s="133" t="s">
        <v>599</v>
      </c>
      <c r="CC36" s="133" t="s">
        <v>599</v>
      </c>
      <c r="CD36" s="133" t="s">
        <v>599</v>
      </c>
      <c r="CE36" s="133" t="s">
        <v>599</v>
      </c>
      <c r="CF36" s="133" t="s">
        <v>599</v>
      </c>
    </row>
    <row r="37" spans="1:84">
      <c r="A37" s="26"/>
      <c r="B37" s="20"/>
      <c r="C37" s="76"/>
      <c r="D37" s="720">
        <f>MAX(_xll.xlDateSettle("TARGET",$D$4,2),L37)</f>
        <v>43179</v>
      </c>
      <c r="E37" s="716" t="s">
        <v>823</v>
      </c>
      <c r="F37" s="87" t="s">
        <v>1177</v>
      </c>
      <c r="G37" s="679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1231</v>
      </c>
      <c r="O37" s="85" t="s">
        <v>1178</v>
      </c>
      <c r="P37" s="85" t="s">
        <v>1232</v>
      </c>
      <c r="Q37" s="89">
        <v>17414767000</v>
      </c>
      <c r="R37" s="85"/>
      <c r="S37" s="90">
        <f>_xll.RtGet("IDN",$X37,$S$9)</f>
        <v>100.74000000000001</v>
      </c>
      <c r="T37" s="90">
        <f>_xll.RtGet("IDN",$X37,$T$9)</f>
        <v>100.76</v>
      </c>
      <c r="U37" s="95">
        <f t="shared" si="9"/>
        <v>100.75</v>
      </c>
      <c r="V37" s="21"/>
      <c r="W37" s="25">
        <f t="shared" si="2"/>
        <v>100.75</v>
      </c>
      <c r="X37" s="23" t="str">
        <f t="shared" si="3"/>
        <v>IT517559=TT</v>
      </c>
      <c r="Y37" s="23"/>
      <c r="Z37" s="23"/>
      <c r="AA37" s="23"/>
      <c r="AB37" s="23"/>
      <c r="AC37" s="23"/>
      <c r="AD37" s="33">
        <f>IF(ISNUMBER($D37),_xll.xlBondYield($F37,$H37,$G37,$J37,$K37,$L37,$M37,$D37,$W37,IF(NOT($H37),TRUE,FALSE)),"")</f>
        <v>2.1483829373660579E-3</v>
      </c>
      <c r="AE37" s="12"/>
      <c r="AF37" s="12"/>
      <c r="AG37" s="12"/>
      <c r="AH37" s="14"/>
      <c r="AI37" s="14"/>
      <c r="AJ37" s="14"/>
      <c r="AK37" s="246">
        <f>IF(ISNUMBER($D37),_xll.xlBondAswSpread($F37&amp;T(TYPE($AV$1)),$H37,$G37,$J37,$K37,$L37,$M37,$D37,$W37,IF(NOT($H37),TRUE,FALSE),curveName,curveName,,,2),"")</f>
        <v>0.13472475753602298</v>
      </c>
      <c r="AL37" s="213">
        <f>IF($W37&gt;0,_xll.xlBondZSpread(F37&amp;T(TYPE($AV$1)),H37,G37,J37,K37,L37,M37,D37,U37,"annual",5,IF(NOT($H37),TRUE,FALSE),curveName)*100,"")</f>
        <v>13.649139923385523</v>
      </c>
      <c r="AM37" s="266">
        <f>(-IF($AL$9="",VLOOKUP(VLOOKUP(E37,'DB Basis'!$D$2:$H$65205,4,0),Bonds!$AR$1:$AS$6,2,0),$AL$9)*VLOOKUP(E37,'DB Basis'!$D$2:$E$65205,2,0))+IF(V37="",W37,V37)</f>
        <v>4.8876072500000021</v>
      </c>
      <c r="AN37" s="274" t="str">
        <f>IF($AN$9+(($AL$9-$AM$9))*('DB Basis'!F196/10-'DB Basis'!E196),," ")</f>
        <v xml:space="preserve"> </v>
      </c>
      <c r="AO37" s="639">
        <f>IF(U37&gt;0,_xll.xlShmImplSwap2(curveName&amp;T(TYPE($AV$1)),curveName,D37,G37,,1,8,2,4),"")</f>
        <v>7.9649826533771575E-4</v>
      </c>
      <c r="AP37" s="640">
        <f t="shared" si="4"/>
        <v>1.3518846720283421E-3</v>
      </c>
      <c r="AQ37" s="386">
        <f t="shared" si="5"/>
        <v>-6.0328303304539128</v>
      </c>
      <c r="AR37" s="386">
        <f t="shared" si="6"/>
        <v>-23.785907824513867</v>
      </c>
      <c r="AS37" s="388"/>
      <c r="AT37" s="242">
        <f t="shared" si="7"/>
        <v>0.2118953034114468</v>
      </c>
      <c r="AU37" s="699" t="str">
        <f t="shared" si="1"/>
        <v>BTP  01-Jun-21  0.45</v>
      </c>
      <c r="AV37" s="703">
        <f t="shared" si="8"/>
        <v>-2.5569769372206464E-4</v>
      </c>
      <c r="AW37" s="687"/>
      <c r="AX37" s="687"/>
      <c r="AY37" s="687"/>
      <c r="AZ37" s="687"/>
      <c r="BA37" s="687"/>
      <c r="BB37" s="689">
        <f>_xll.xlInterpKruger(_xll.ohFilter($G$11:$G$89,$BC$11:$BC$89),_xll.ohFilter($AD$11:$AD$89,$BC$11:$BC$89),$G37)</f>
        <v>2.4040806310881226E-3</v>
      </c>
      <c r="BC37" s="695" t="b">
        <v>0</v>
      </c>
      <c r="BE37" s="706">
        <f>_xll.xlDateShiftMonth(BE36,1)</f>
        <v>43979</v>
      </c>
      <c r="BF37" s="707">
        <v>-6.1779022000435892E-4</v>
      </c>
      <c r="BU37" s="133" t="s">
        <v>599</v>
      </c>
      <c r="BV37" s="133" t="s">
        <v>599</v>
      </c>
      <c r="BW37" s="133" t="s">
        <v>599</v>
      </c>
      <c r="BX37" s="133" t="s">
        <v>599</v>
      </c>
      <c r="BY37" s="133" t="s">
        <v>599</v>
      </c>
      <c r="BZ37" s="133" t="s">
        <v>599</v>
      </c>
      <c r="CA37" s="133" t="s">
        <v>599</v>
      </c>
      <c r="CB37" s="133" t="s">
        <v>599</v>
      </c>
      <c r="CC37" s="133" t="s">
        <v>599</v>
      </c>
      <c r="CD37" s="133" t="s">
        <v>599</v>
      </c>
      <c r="CE37" s="133" t="s">
        <v>599</v>
      </c>
      <c r="CF37" s="133" t="s">
        <v>599</v>
      </c>
    </row>
    <row r="38" spans="1:84" s="136" customFormat="1">
      <c r="A38" s="65"/>
      <c r="B38" s="66"/>
      <c r="C38" s="71"/>
      <c r="D38" s="720">
        <f>MAX(_xll.xlDateSettle("TARGET",$D$4,2),L38)</f>
        <v>43179</v>
      </c>
      <c r="E38" s="710" t="s">
        <v>704</v>
      </c>
      <c r="F38" s="22" t="s">
        <v>1177</v>
      </c>
      <c r="G38" s="673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1233</v>
      </c>
      <c r="O38" s="21" t="s">
        <v>1178</v>
      </c>
      <c r="P38" s="21" t="s">
        <v>1234</v>
      </c>
      <c r="Q38" s="24">
        <v>28148325000</v>
      </c>
      <c r="R38" s="21"/>
      <c r="S38" s="42">
        <f>_xll.RtGet("IDN",$X38,$S$9)</f>
        <v>111.57000000000001</v>
      </c>
      <c r="T38" s="42">
        <f>_xll.RtGet("IDN",$X38,$T$9)</f>
        <v>111.61</v>
      </c>
      <c r="U38" s="95">
        <f t="shared" si="9"/>
        <v>111.59</v>
      </c>
      <c r="V38" s="21"/>
      <c r="W38" s="25">
        <f t="shared" si="2"/>
        <v>111.59</v>
      </c>
      <c r="X38" s="23" t="str">
        <f t="shared" si="3"/>
        <v>IT400967=TT</v>
      </c>
      <c r="Y38" s="23"/>
      <c r="Z38" s="23"/>
      <c r="AA38" s="23"/>
      <c r="AB38" s="23"/>
      <c r="AC38" s="23"/>
      <c r="AD38" s="33">
        <f>IF(ISNUMBER($D38),_xll.xlBondYield($F38,$H38,$G38,$J38,$K38,$L38,$M38,$D38,$W38,IF(NOT($H38),TRUE,FALSE)),"")</f>
        <v>2.9146824759001128E-3</v>
      </c>
      <c r="AE38" s="12"/>
      <c r="AF38" s="12"/>
      <c r="AG38" s="12"/>
      <c r="AH38" s="14"/>
      <c r="AI38" s="14"/>
      <c r="AJ38" s="14"/>
      <c r="AK38" s="246">
        <f>IF(ISNUMBER($D38),_xll.xlBondAswSpread($F38&amp;T(TYPE($AV$1)),$H38,$G38,$J38,$K38,$L38,$M38,$D38,$W38,IF(NOT($H38),TRUE,FALSE),curveName,curveName,,,2),"")</f>
        <v>0.19973641073059129</v>
      </c>
      <c r="AL38" s="213">
        <f>IF($W38&gt;0,_xll.xlBondZSpread(F38&amp;T(TYPE($AV$1)),H38,G38,J38,K38,L38,M38,D38,U38,"annual",5,IF(NOT($H38),TRUE,FALSE),curveName)*100,"")</f>
        <v>19.061655283847358</v>
      </c>
      <c r="AM38" s="266">
        <f>(-IF($AL$9="",VLOOKUP(VLOOKUP(E38,'DB Basis'!$D$2:$H$65205,4,0),Bonds!$AR$1:$AS$6,2,0),$AL$9)*VLOOKUP(E38,'DB Basis'!$D$2:$E$65205,2,0))+IF(V38="",W38,V38)</f>
        <v>6.1116784999999965</v>
      </c>
      <c r="AN38" s="274" t="str">
        <f>IF($AN$9+(($AL$9-$AM$9))*('DB Basis'!F197/10-'DB Basis'!E197),," ")</f>
        <v xml:space="preserve"> </v>
      </c>
      <c r="AO38" s="639">
        <f>IF(U38&gt;0,_xll.xlShmImplSwap2(curveName&amp;T(TYPE($AV$1)),curveName,D38,G38,,1,8,2,4),"")</f>
        <v>1.1294227923474424E-3</v>
      </c>
      <c r="AP38" s="640">
        <f t="shared" si="4"/>
        <v>1.7852596835526704E-3</v>
      </c>
      <c r="AQ38" s="386">
        <f t="shared" si="5"/>
        <v>45.852349436873773</v>
      </c>
      <c r="AR38" s="386">
        <f t="shared" si="6"/>
        <v>25.931455607603251</v>
      </c>
      <c r="AS38" s="388"/>
      <c r="AT38" s="242">
        <f t="shared" si="7"/>
        <v>0.28747553186960012</v>
      </c>
      <c r="AU38" s="699" t="str">
        <f t="shared" si="1"/>
        <v>BTP  01-Aug-21  3.75</v>
      </c>
      <c r="AV38" s="703">
        <f t="shared" si="8"/>
        <v>1.8500014078554365E-4</v>
      </c>
      <c r="AW38" s="691"/>
      <c r="AX38" s="691"/>
      <c r="AY38" s="691"/>
      <c r="AZ38" s="691"/>
      <c r="BA38" s="691"/>
      <c r="BB38" s="689">
        <f>_xll.xlInterpKruger(_xll.ohFilter($G$11:$G$89,$BC$11:$BC$89),_xll.ohFilter($AD$11:$AD$89,$BC$11:$BC$89),$G38)</f>
        <v>2.7296823351145691E-3</v>
      </c>
      <c r="BC38" s="695" t="b">
        <v>0</v>
      </c>
      <c r="BE38" s="706">
        <f>_xll.xlDateShiftMonth(BE37,1)</f>
        <v>44010</v>
      </c>
      <c r="BF38" s="708">
        <v>-3.7560677033560282E-4</v>
      </c>
      <c r="BU38" s="136" t="s">
        <v>599</v>
      </c>
      <c r="BV38" s="136" t="s">
        <v>599</v>
      </c>
      <c r="BW38" s="136" t="s">
        <v>599</v>
      </c>
      <c r="BX38" s="136" t="s">
        <v>599</v>
      </c>
      <c r="BY38" s="136" t="s">
        <v>599</v>
      </c>
      <c r="BZ38" s="136" t="s">
        <v>599</v>
      </c>
      <c r="CA38" s="136" t="s">
        <v>599</v>
      </c>
      <c r="CB38" s="136" t="s">
        <v>599</v>
      </c>
      <c r="CC38" s="136" t="s">
        <v>599</v>
      </c>
      <c r="CD38" s="136" t="s">
        <v>599</v>
      </c>
      <c r="CE38" s="136" t="s">
        <v>599</v>
      </c>
      <c r="CF38" s="136" t="s">
        <v>599</v>
      </c>
    </row>
    <row r="39" spans="1:84">
      <c r="A39" s="47"/>
      <c r="B39" s="48"/>
      <c r="C39" s="85"/>
      <c r="D39" s="720">
        <f>MAX(_xll.xlDateSettle("TARGET",$D$4,2),L39)</f>
        <v>43179</v>
      </c>
      <c r="E39" s="710" t="s">
        <v>705</v>
      </c>
      <c r="F39" s="22" t="s">
        <v>1177</v>
      </c>
      <c r="G39" s="673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1235</v>
      </c>
      <c r="O39" s="21" t="s">
        <v>1178</v>
      </c>
      <c r="P39" s="21" t="s">
        <v>1236</v>
      </c>
      <c r="Q39" s="24">
        <v>24986368000</v>
      </c>
      <c r="R39" s="21"/>
      <c r="S39" s="42">
        <f>_xll.RtGet("IDN",$X39,$S$9)</f>
        <v>115.2</v>
      </c>
      <c r="T39" s="42">
        <f>_xll.RtGet("IDN",$X39,$T$9)</f>
        <v>115.24000000000001</v>
      </c>
      <c r="U39" s="95">
        <f t="shared" si="9"/>
        <v>115.22</v>
      </c>
      <c r="V39" s="21"/>
      <c r="W39" s="25">
        <f t="shared" si="2"/>
        <v>115.22</v>
      </c>
      <c r="X39" s="23" t="str">
        <f t="shared" si="3"/>
        <v>IT469507=TT</v>
      </c>
      <c r="Y39" s="23"/>
      <c r="Z39" s="23"/>
      <c r="AA39" s="23"/>
      <c r="AB39" s="23"/>
      <c r="AC39" s="23"/>
      <c r="AD39" s="33">
        <f>IF(ISNUMBER($D39),_xll.xlBondYield($F39,$H39,$G39,$J39,$K39,$L39,$M39,$D39,$W39,IF(NOT($H39),TRUE,FALSE)),"")</f>
        <v>3.0949929895818309E-3</v>
      </c>
      <c r="AE39" s="12"/>
      <c r="AF39" s="12"/>
      <c r="AG39" s="12"/>
      <c r="AH39" s="14"/>
      <c r="AI39" s="14"/>
      <c r="AJ39" s="14"/>
      <c r="AK39" s="246">
        <f>IF(ISNUMBER($D39),_xll.xlBondAswSpread($F39&amp;T(TYPE($AV$1)),$H39,$G39,$J39,$K39,$L39,$M39,$D39,$W39,IF(NOT($H39),TRUE,FALSE),curveName,curveName,,,2),"")</f>
        <v>0.20887626563211023</v>
      </c>
      <c r="AL39" s="213">
        <f>IF($W39&gt;0,_xll.xlBondZSpread(F39&amp;T(TYPE($AV$1)),H39,G39,J39,K39,L39,M39,D39,U39,"annual",5,IF(NOT($H39),TRUE,FALSE),curveName)*100,"")</f>
        <v>19.561890095290437</v>
      </c>
      <c r="AM39" s="266">
        <f>(-IF($AL$9="",VLOOKUP(VLOOKUP(E39,'DB Basis'!$D$2:$H$65205,4,0),Bonds!$AR$1:$AS$6,2,0),$AL$9)*VLOOKUP(E39,'DB Basis'!$D$2:$E$65205,2,0))+IF(V39="",W39,V39)</f>
        <v>6.63945425</v>
      </c>
      <c r="AN39" s="274" t="str">
        <f>IF($AN$9+(($AL$9-$AM$9))*('DB Basis'!F198/10-'DB Basis'!E198),," ")</f>
        <v xml:space="preserve"> </v>
      </c>
      <c r="AO39" s="639">
        <f>IF(U39&gt;0,_xll.xlShmImplSwap2(curveName&amp;T(TYPE($AV$1)),curveName,D39,G39,,1,8,2,4),"")</f>
        <v>1.2879928232863221E-3</v>
      </c>
      <c r="AP39" s="640">
        <f t="shared" si="4"/>
        <v>1.8070001662955088E-3</v>
      </c>
      <c r="AQ39" s="386">
        <f t="shared" si="5"/>
        <v>21.230108868976494</v>
      </c>
      <c r="AR39" s="386">
        <f t="shared" si="6"/>
        <v>2.559766516495495</v>
      </c>
      <c r="AS39" s="388"/>
      <c r="AT39" s="242">
        <f t="shared" si="7"/>
        <v>0.30525958253409841</v>
      </c>
      <c r="AU39" s="699" t="str">
        <f t="shared" si="1"/>
        <v>BTP  01-Sep-21  4.75</v>
      </c>
      <c r="AV39" s="703">
        <f t="shared" si="8"/>
        <v>2.0476239545301738E-4</v>
      </c>
      <c r="AW39" s="687"/>
      <c r="AX39" s="687"/>
      <c r="AY39" s="687"/>
      <c r="AZ39" s="687"/>
      <c r="BA39" s="687"/>
      <c r="BB39" s="689">
        <f>_xll.xlInterpKruger(_xll.ohFilter($G$11:$G$89,$BC$11:$BC$89),_xll.ohFilter($AD$11:$AD$89,$BC$11:$BC$89),$G39)</f>
        <v>2.8902305941288136E-3</v>
      </c>
      <c r="BC39" s="695" t="b">
        <v>0</v>
      </c>
      <c r="BE39" s="706">
        <f>_xll.xlDateShiftMonth(BE38,1)</f>
        <v>44040</v>
      </c>
      <c r="BF39" s="707">
        <v>-1.7476461914831464E-4</v>
      </c>
      <c r="BU39" s="133" t="s">
        <v>599</v>
      </c>
      <c r="BV39" s="133" t="s">
        <v>599</v>
      </c>
      <c r="BW39" s="133" t="s">
        <v>599</v>
      </c>
      <c r="BX39" s="133" t="s">
        <v>599</v>
      </c>
      <c r="BY39" s="133" t="s">
        <v>599</v>
      </c>
      <c r="BZ39" s="133" t="s">
        <v>599</v>
      </c>
      <c r="CA39" s="133" t="s">
        <v>599</v>
      </c>
      <c r="CB39" s="133" t="s">
        <v>599</v>
      </c>
      <c r="CC39" s="133" t="s">
        <v>599</v>
      </c>
      <c r="CD39" s="133" t="s">
        <v>599</v>
      </c>
      <c r="CE39" s="133" t="s">
        <v>599</v>
      </c>
      <c r="CF39" s="133" t="s">
        <v>599</v>
      </c>
    </row>
    <row r="40" spans="1:84">
      <c r="A40" s="30"/>
      <c r="B40" s="28"/>
      <c r="C40" s="29"/>
      <c r="D40" s="720">
        <f>MAX(_xll.xlDateSettle("TARGET",$D$4,2),L40)</f>
        <v>43179</v>
      </c>
      <c r="E40" s="710" t="s">
        <v>883</v>
      </c>
      <c r="F40" s="22" t="s">
        <v>1177</v>
      </c>
      <c r="G40" s="673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1237</v>
      </c>
      <c r="O40" s="21" t="s">
        <v>1197</v>
      </c>
      <c r="P40" s="21" t="s">
        <v>1238</v>
      </c>
      <c r="Q40" s="24">
        <v>13955000000</v>
      </c>
      <c r="R40" s="21"/>
      <c r="S40" s="42">
        <f>_xll.RtGet("IDN",$X40,$S$9)</f>
        <v>100.07000000000001</v>
      </c>
      <c r="T40" s="42">
        <f>_xll.RtGet("IDN",$X40,$T$9)</f>
        <v>100.09</v>
      </c>
      <c r="U40" s="95">
        <f t="shared" si="9"/>
        <v>100.08000000000001</v>
      </c>
      <c r="V40" s="21"/>
      <c r="W40" s="25">
        <f t="shared" si="2"/>
        <v>100.08000000000001</v>
      </c>
      <c r="X40" s="23" t="str">
        <f t="shared" si="3"/>
        <v>IT521649=TT</v>
      </c>
      <c r="Y40" s="23"/>
      <c r="Z40" s="23"/>
      <c r="AA40" s="23"/>
      <c r="AB40" s="23"/>
      <c r="AC40" s="23"/>
      <c r="AD40" s="33">
        <f>IF(ISNUMBER($D40),_xll.xlBondYield($F40,$H40,$G40,$J40,$K40,$L40,$M40,$D40,$W40,IF(NOT($H40),TRUE,FALSE)),"")</f>
        <v>3.2798534081573431E-3</v>
      </c>
      <c r="AE40" s="12"/>
      <c r="AF40" s="12"/>
      <c r="AG40" s="12"/>
      <c r="AH40" s="14"/>
      <c r="AI40" s="14"/>
      <c r="AJ40" s="14"/>
      <c r="AK40" s="246">
        <f>IF(ISNUMBER($D40),_xll.xlBondAswSpread($F40&amp;T(TYPE($AV$1)),$H40,$G40,$J40,$K40,$L40,$M40,$D40,$W40,IF(NOT($H40),TRUE,FALSE),curveName,curveName,,,2),"")</f>
        <v>0.16394183033019405</v>
      </c>
      <c r="AL40" s="213">
        <f>IF($W40&gt;0,_xll.xlBondZSpread(F40&amp;T(TYPE($AV$1)),H40,G40,J40,K40,L40,M40,D40,U40,"annual",5,IF(NOT($H40),TRUE,FALSE),curveName)*100,"")</f>
        <v>16.699077236029556</v>
      </c>
      <c r="AM40" s="266">
        <f>(-IF($AL$9="",VLOOKUP(VLOOKUP(E40,'DB Basis'!$D$2:$H$65205,4,0),Bonds!$AR$1:$AS$6,2,0),$AL$9)*VLOOKUP(E40,'DB Basis'!$D$2:$E$65205,2,0))+IF(V40="",W40,V40)</f>
        <v>56.95074000000001</v>
      </c>
      <c r="AN40" s="274" t="str">
        <f>IF($AN$9+(($AL$9-$AM$9))*('DB Basis'!F199/10-'DB Basis'!E199),," ")</f>
        <v xml:space="preserve"> </v>
      </c>
      <c r="AO40" s="639">
        <f>IF(U40&gt;0,_xll.xlShmImplSwap2(curveName&amp;T(TYPE($AV$1)),curveName,D40,G40,,1,8,2,4),"")</f>
        <v>1.6236310695428989E-3</v>
      </c>
      <c r="AP40" s="640">
        <f t="shared" si="4"/>
        <v>1.6562223386144442E-3</v>
      </c>
      <c r="AQ40" s="386">
        <f t="shared" si="5"/>
        <v>11.061320127879007</v>
      </c>
      <c r="AR40" s="386">
        <f t="shared" si="6"/>
        <v>-9.021951984194855</v>
      </c>
      <c r="AS40" s="388"/>
      <c r="AT40" s="242">
        <f t="shared" si="7"/>
        <v>0.32349239094154614</v>
      </c>
      <c r="AU40" s="699" t="str">
        <f t="shared" si="1"/>
        <v>BTP  01-Nov-21  0.35</v>
      </c>
      <c r="AV40" s="703">
        <f t="shared" si="8"/>
        <v>0</v>
      </c>
      <c r="AW40" s="687"/>
      <c r="AX40" s="687"/>
      <c r="AY40" s="687"/>
      <c r="AZ40" s="687"/>
      <c r="BA40" s="687"/>
      <c r="BB40" s="689">
        <f>_xll.xlInterpKruger(_xll.ohFilter($G$11:$G$89,$BC$11:$BC$89),_xll.ohFilter($AD$11:$AD$89,$BC$11:$BC$89),$G40)</f>
        <v>3.2798534081573431E-3</v>
      </c>
      <c r="BC40" s="695" t="b">
        <v>1</v>
      </c>
      <c r="BE40" s="706">
        <f>_xll.xlDateShiftMonth(BE39,1)</f>
        <v>44071</v>
      </c>
      <c r="BF40" s="707">
        <v>1.640672011839412E-5</v>
      </c>
      <c r="BU40" s="133" t="s">
        <v>599</v>
      </c>
      <c r="BV40" s="133" t="s">
        <v>599</v>
      </c>
      <c r="BW40" s="133" t="s">
        <v>599</v>
      </c>
      <c r="BX40" s="133" t="s">
        <v>599</v>
      </c>
      <c r="BY40" s="133" t="s">
        <v>599</v>
      </c>
      <c r="BZ40" s="133" t="s">
        <v>599</v>
      </c>
      <c r="CA40" s="133" t="s">
        <v>599</v>
      </c>
      <c r="CB40" s="133" t="s">
        <v>599</v>
      </c>
      <c r="CC40" s="133" t="s">
        <v>599</v>
      </c>
      <c r="CD40" s="133" t="s">
        <v>599</v>
      </c>
      <c r="CE40" s="133" t="s">
        <v>599</v>
      </c>
      <c r="CF40" s="133" t="s">
        <v>599</v>
      </c>
    </row>
    <row r="41" spans="1:84">
      <c r="A41" s="26"/>
      <c r="B41" s="20"/>
      <c r="C41" s="21"/>
      <c r="D41" s="720">
        <f>MAX(_xll.xlDateSettle("TARGET",$D$4,2),L41)</f>
        <v>43179</v>
      </c>
      <c r="E41" s="710" t="s">
        <v>589</v>
      </c>
      <c r="F41" s="22" t="s">
        <v>1177</v>
      </c>
      <c r="G41" s="673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1239</v>
      </c>
      <c r="O41" s="21" t="s">
        <v>1178</v>
      </c>
      <c r="P41" s="21" t="s">
        <v>1240</v>
      </c>
      <c r="Q41" s="24">
        <v>17657877000</v>
      </c>
      <c r="R41" s="21"/>
      <c r="S41" s="42">
        <f>_xll.RtGet("IDN",$X41,$S$9)</f>
        <v>106.43</v>
      </c>
      <c r="T41" s="42">
        <f>_xll.RtGet("IDN",$X41,$T$9)</f>
        <v>106.47</v>
      </c>
      <c r="U41" s="95">
        <f t="shared" si="9"/>
        <v>106.45</v>
      </c>
      <c r="V41" s="21"/>
      <c r="W41" s="25">
        <f>IF(V41="",U41,V41)</f>
        <v>106.45</v>
      </c>
      <c r="X41" s="23" t="str">
        <f t="shared" si="3"/>
        <v>IT502800=TT</v>
      </c>
      <c r="Y41" s="23"/>
      <c r="Z41" s="23"/>
      <c r="AA41" s="23"/>
      <c r="AB41" s="23"/>
      <c r="AC41" s="23"/>
      <c r="AD41" s="33">
        <f>IF(ISNUMBER($D41),_xll.xlBondYield($F41,$H41,$G41,$J41,$K41,$L41,$M41,$D41,$W41,IF(NOT($H41),TRUE,FALSE)),"")</f>
        <v>4.1025578149276598E-3</v>
      </c>
      <c r="AE41" s="12"/>
      <c r="AF41" s="12"/>
      <c r="AG41" s="12"/>
      <c r="AH41" s="14"/>
      <c r="AI41" s="14"/>
      <c r="AJ41" s="14"/>
      <c r="AK41" s="246">
        <f>IF(ISNUMBER($D41),_xll.xlBondAswSpread($F41&amp;T(TYPE($AV$1)),$H41,$G41,$J41,$K41,$L41,$M41,$D41,$W41,IF(NOT($H41),TRUE,FALSE),curveName,curveName,,,2),"")</f>
        <v>0.23728836593396543</v>
      </c>
      <c r="AL41" s="213">
        <f>IF($W41&gt;0,_xll.xlBondZSpread(F41&amp;T(TYPE($AV$1)),H41,G41,J41,K41,L41,M41,D41,U41,"annual",5,IF(NOT($H41),TRUE,FALSE),curveName)*100,"")</f>
        <v>23.334373037370458</v>
      </c>
      <c r="AM41" s="266">
        <f>(-IF($AL$9="",VLOOKUP(VLOOKUP(E41,'DB Basis'!$D$2:$H$65205,4,0),Bonds!$AR$1:$AS$6,2,0),$AL$9)*VLOOKUP(E41,'DB Basis'!$D$2:$E$65205,2,0))+IF(V41="",W41,V41)</f>
        <v>60.454554999999992</v>
      </c>
      <c r="AN41" s="274" t="str">
        <f>IF($AN$9+(($AL$9-$AM$9))*('DB Basis'!F200/10-'DB Basis'!E200),," ")</f>
        <v xml:space="preserve"> </v>
      </c>
      <c r="AO41" s="639">
        <f>IF(U41&gt;0,_xll.xlShmImplSwap2(curveName&amp;T(TYPE($AV$1)),curveName,D41,G41,,1,8,2,4),"")</f>
        <v>1.8524789787517152E-3</v>
      </c>
      <c r="AP41" s="640">
        <f t="shared" si="4"/>
        <v>2.2500788361759444E-3</v>
      </c>
      <c r="AQ41" s="386">
        <f t="shared" si="5"/>
        <v>68.24707010708309</v>
      </c>
      <c r="AR41" s="386">
        <f t="shared" si="6"/>
        <v>49.263095820442636</v>
      </c>
      <c r="AS41" s="388"/>
      <c r="AT41" s="242">
        <f t="shared" si="7"/>
        <v>0.40463583928053626</v>
      </c>
      <c r="AU41" s="699" t="str">
        <f t="shared" si="1"/>
        <v>BTP  15-Dec-21  2.15</v>
      </c>
      <c r="AV41" s="703">
        <f t="shared" si="8"/>
        <v>4.2512986165028606E-4</v>
      </c>
      <c r="AW41" s="687"/>
      <c r="AX41" s="687"/>
      <c r="AY41" s="687"/>
      <c r="AZ41" s="687"/>
      <c r="BA41" s="687"/>
      <c r="BB41" s="689">
        <f>_xll.xlInterpKruger(_xll.ohFilter($G$11:$G$89,$BC$11:$BC$89),_xll.ohFilter($AD$11:$AD$89,$BC$11:$BC$89),$G41)</f>
        <v>3.6774279532773737E-3</v>
      </c>
      <c r="BC41" s="695" t="b">
        <v>0</v>
      </c>
      <c r="BE41" s="706">
        <f>_xll.xlDateShiftMonth(BE40,1)</f>
        <v>44102</v>
      </c>
      <c r="BF41" s="707">
        <v>2.1169847455469412E-4</v>
      </c>
      <c r="BU41" s="133" t="s">
        <v>599</v>
      </c>
      <c r="BV41" s="133" t="s">
        <v>599</v>
      </c>
      <c r="BW41" s="133" t="s">
        <v>599</v>
      </c>
      <c r="BX41" s="133" t="s">
        <v>599</v>
      </c>
      <c r="BY41" s="133" t="s">
        <v>599</v>
      </c>
      <c r="BZ41" s="133" t="s">
        <v>599</v>
      </c>
      <c r="CA41" s="133" t="s">
        <v>599</v>
      </c>
      <c r="CB41" s="133" t="s">
        <v>599</v>
      </c>
      <c r="CC41" s="133" t="s">
        <v>599</v>
      </c>
      <c r="CD41" s="133" t="s">
        <v>599</v>
      </c>
      <c r="CE41" s="133" t="s">
        <v>599</v>
      </c>
      <c r="CF41" s="133" t="s">
        <v>599</v>
      </c>
    </row>
    <row r="42" spans="1:84">
      <c r="A42" s="49"/>
      <c r="B42" s="50"/>
      <c r="C42" s="29"/>
      <c r="D42" s="720">
        <f>MAX(_xll.xlDateSettle("TARGET",$D$4,2),L42)</f>
        <v>43179</v>
      </c>
      <c r="E42" s="710" t="s">
        <v>706</v>
      </c>
      <c r="F42" s="22" t="s">
        <v>1177</v>
      </c>
      <c r="G42" s="673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1241</v>
      </c>
      <c r="O42" s="21" t="s">
        <v>1178</v>
      </c>
      <c r="P42" s="21" t="s">
        <v>1242</v>
      </c>
      <c r="Q42" s="24">
        <v>20635579000</v>
      </c>
      <c r="R42" s="21"/>
      <c r="S42" s="42">
        <f>_xll.RtGet("IDN",$X42,$S$9)</f>
        <v>117.60000000000001</v>
      </c>
      <c r="T42" s="42">
        <f>_xll.RtGet("IDN",$X42,$T$9)</f>
        <v>117.68</v>
      </c>
      <c r="U42" s="95">
        <f t="shared" si="9"/>
        <v>117.64000000000001</v>
      </c>
      <c r="V42" s="21"/>
      <c r="W42" s="25">
        <f t="shared" si="2"/>
        <v>117.64000000000001</v>
      </c>
      <c r="X42" s="23" t="str">
        <f t="shared" si="3"/>
        <v>IT475967=TT</v>
      </c>
      <c r="Y42" s="23"/>
      <c r="Z42" s="23"/>
      <c r="AA42" s="23"/>
      <c r="AB42" s="23"/>
      <c r="AC42" s="23"/>
      <c r="AD42" s="33">
        <f>IF(ISNUMBER($D42),_xll.xlBondYield($F42,$H42,$G42,$J42,$K42,$L42,$M42,$D42,$W42,IF(NOT($H42),TRUE,FALSE)),"")</f>
        <v>4.8458558305979199E-3</v>
      </c>
      <c r="AE42" s="12"/>
      <c r="AF42" s="12"/>
      <c r="AG42" s="12"/>
      <c r="AH42" s="14"/>
      <c r="AI42" s="14"/>
      <c r="AJ42" s="14"/>
      <c r="AK42" s="246">
        <f>IF(ISNUMBER($D42),_xll.xlBondAswSpread($F42&amp;T(TYPE($AV$1)),$H42,$G42,$J42,$K42,$L42,$M42,$D42,$W42,IF(NOT($H42),TRUE,FALSE),curveName,curveName,,,2),"")</f>
        <v>0.30166737434642621</v>
      </c>
      <c r="AL42" s="213">
        <f>IF($W42&gt;0,_xll.xlBondZSpread(F42&amp;T(TYPE($AV$1)),H42,G42,J42,K42,L42,M42,D42,U42,"annual",5,IF(NOT($H42),TRUE,FALSE),curveName)*100,"")</f>
        <v>27.982612751686979</v>
      </c>
      <c r="AM42" s="266">
        <f>(-IF($AL$9="",VLOOKUP(VLOOKUP(E42,'DB Basis'!$D$2:$H$65205,4,0),Bonds!$AR$1:$AS$6,2,0),$AL$9)*VLOOKUP(E42,'DB Basis'!$D$2:$E$65205,2,0))+IF(V42="",W42,V42)</f>
        <v>66.185155000000009</v>
      </c>
      <c r="AN42" s="274" t="str">
        <f>IF($AN$9+(($AL$9-$AM$9))*('DB Basis'!F201/10-'DB Basis'!E201),," ")</f>
        <v xml:space="preserve"> </v>
      </c>
      <c r="AO42" s="639">
        <f>IF(U42&gt;0,_xll.xlShmImplSwap2(curveName&amp;T(TYPE($AV$1)),curveName,D42,G42,,1,8,2,4),"")</f>
        <v>2.2552609020393736E-3</v>
      </c>
      <c r="AP42" s="640">
        <f t="shared" si="4"/>
        <v>2.5905949285585463E-3</v>
      </c>
      <c r="AQ42" s="386">
        <f t="shared" si="5"/>
        <v>35.697865226269073</v>
      </c>
      <c r="AR42" s="386">
        <f t="shared" si="6"/>
        <v>16.353733384164435</v>
      </c>
      <c r="AS42" s="388"/>
      <c r="AT42" s="242">
        <f t="shared" si="7"/>
        <v>0.47794742438774007</v>
      </c>
      <c r="AU42" s="700" t="str">
        <f t="shared" si="1"/>
        <v>BTP  01-Mar-22  5</v>
      </c>
      <c r="AV42" s="703">
        <f t="shared" si="8"/>
        <v>2.9031068465509499E-4</v>
      </c>
      <c r="AW42" s="687"/>
      <c r="AX42" s="687"/>
      <c r="AY42" s="687"/>
      <c r="AZ42" s="687"/>
      <c r="BA42" s="687"/>
      <c r="BB42" s="689">
        <f>_xll.xlInterpKruger(_xll.ohFilter($G$11:$G$89,$BC$11:$BC$89),_xll.ohFilter($AD$11:$AD$89,$BC$11:$BC$89),$G42)</f>
        <v>4.5555451459428249E-3</v>
      </c>
      <c r="BC42" s="695" t="b">
        <v>0</v>
      </c>
      <c r="BE42" s="706">
        <f>_xll.xlDateShiftMonth(BE41,1)</f>
        <v>44132</v>
      </c>
      <c r="BF42" s="707">
        <v>4.243744924101111E-4</v>
      </c>
      <c r="BU42" s="133" t="s">
        <v>599</v>
      </c>
      <c r="BV42" s="133" t="s">
        <v>599</v>
      </c>
      <c r="BW42" s="133" t="s">
        <v>599</v>
      </c>
      <c r="BX42" s="133" t="s">
        <v>599</v>
      </c>
      <c r="BY42" s="133" t="s">
        <v>599</v>
      </c>
      <c r="BZ42" s="133" t="s">
        <v>599</v>
      </c>
      <c r="CA42" s="133" t="s">
        <v>599</v>
      </c>
      <c r="CB42" s="133" t="s">
        <v>599</v>
      </c>
      <c r="CC42" s="133" t="s">
        <v>599</v>
      </c>
      <c r="CD42" s="133" t="s">
        <v>599</v>
      </c>
      <c r="CE42" s="133" t="s">
        <v>599</v>
      </c>
      <c r="CF42" s="133" t="s">
        <v>599</v>
      </c>
    </row>
    <row r="43" spans="1:84">
      <c r="A43" s="26"/>
      <c r="B43" s="20"/>
      <c r="C43" s="21"/>
      <c r="D43" s="720">
        <f>MAX(_xll.xlDateSettle("TARGET",$D$4,2),L43)</f>
        <v>43179</v>
      </c>
      <c r="E43" s="710" t="s">
        <v>980</v>
      </c>
      <c r="F43" s="22" t="s">
        <v>1177</v>
      </c>
      <c r="G43" s="673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1243</v>
      </c>
      <c r="O43" s="21" t="s">
        <v>1178</v>
      </c>
      <c r="P43" s="21" t="s">
        <v>1244</v>
      </c>
      <c r="Q43" s="24">
        <v>16650500000</v>
      </c>
      <c r="R43" s="21"/>
      <c r="S43" s="42">
        <f>_xll.RtGet("IDN",$X43,$S$9)</f>
        <v>102.65</v>
      </c>
      <c r="T43" s="42">
        <f>_xll.RtGet("IDN",$X43,$T$9)</f>
        <v>102.69</v>
      </c>
      <c r="U43" s="95">
        <f t="shared" si="9"/>
        <v>102.67</v>
      </c>
      <c r="V43" s="21"/>
      <c r="W43" s="25">
        <f t="shared" si="2"/>
        <v>102.67</v>
      </c>
      <c r="X43" s="23" t="str">
        <f t="shared" si="3"/>
        <v>IT524478=TT</v>
      </c>
      <c r="Y43" s="23"/>
      <c r="Z43" s="23"/>
      <c r="AA43" s="23"/>
      <c r="AB43" s="23"/>
      <c r="AC43" s="23"/>
      <c r="AD43" s="33">
        <f>IF(ISNUMBER($D43),_xll.xlBondYield($F43,$H43,$G43,$J43,$K43,$L43,$M43,$D43,$W43,IF(NOT($H43),TRUE,FALSE)),"")</f>
        <v>5.306648854697317E-3</v>
      </c>
      <c r="AE43" s="12"/>
      <c r="AF43" s="12"/>
      <c r="AG43" s="12"/>
      <c r="AH43" s="14"/>
      <c r="AI43" s="14"/>
      <c r="AJ43" s="14"/>
      <c r="AK43" s="246">
        <f>IF(ISNUMBER($D43),_xll.xlBondAswSpread($F43&amp;T(TYPE($AV$1)),$H43,$G43,$J43,$K43,$L43,$M43,$D43,$W43,IF(NOT($H43),TRUE,FALSE),curveName,curveName,,,2),"")</f>
        <v>0.29197714507087752</v>
      </c>
      <c r="AL43" s="213">
        <f>IF($W43&gt;0,_xll.xlBondZSpread(F43&amp;T(TYPE($AV$1)),H43,G43,J43,K43,L43,M43,D43,U43,"annual",5,IF(NOT($H43),TRUE,FALSE),curveName)*100,"")</f>
        <v>29.370763254857955</v>
      </c>
      <c r="AM43" s="266">
        <f>(-IF($AL$9="",VLOOKUP(VLOOKUP(E43,'DB Basis'!$D$2:$H$65205,4,0),Bonds!$AR$1:$AS$6,2,0),$AL$9)*VLOOKUP(E43,'DB Basis'!$D$2:$E$65205,2,0))+IF(V43="",W43,V43)</f>
        <v>54.354309999999998</v>
      </c>
      <c r="AN43" s="274" t="str">
        <f>IF($AN$9+(($AL$9-$AM$9))*('DB Basis'!F202/10-'DB Basis'!E202),," ")</f>
        <v xml:space="preserve"> </v>
      </c>
      <c r="AO43" s="639">
        <f>IF(U43&gt;0,_xll.xlShmImplSwap2(curveName&amp;T(TYPE($AV$1)),curveName,D43,G43,,1,8,2,4),"")</f>
        <v>2.4188334193522036E-3</v>
      </c>
      <c r="AP43" s="640">
        <f t="shared" si="4"/>
        <v>2.8878154353451134E-3</v>
      </c>
      <c r="AQ43" s="386">
        <f t="shared" si="5"/>
        <v>54.254662514929016</v>
      </c>
      <c r="AR43" s="386">
        <f t="shared" si="6"/>
        <v>34.995317734547413</v>
      </c>
      <c r="AS43" s="388"/>
      <c r="AT43" s="242">
        <f t="shared" si="7"/>
        <v>0.52339550347699559</v>
      </c>
      <c r="AU43" s="699" t="str">
        <f t="shared" si="1"/>
        <v>BTP  01-Apr-22  1.2</v>
      </c>
      <c r="AV43" s="703">
        <f t="shared" si="8"/>
        <v>3.5925890017721781E-4</v>
      </c>
      <c r="AW43" s="687"/>
      <c r="AX43" s="687"/>
      <c r="AY43" s="687"/>
      <c r="AZ43" s="687"/>
      <c r="BA43" s="687"/>
      <c r="BB43" s="689">
        <f>_xll.xlInterpKruger(_xll.ohFilter($G$11:$G$89,$BC$11:$BC$89),_xll.ohFilter($AD$11:$AD$89,$BC$11:$BC$89),$G43)</f>
        <v>4.9473899545200992E-3</v>
      </c>
      <c r="BC43" s="695" t="b">
        <v>0</v>
      </c>
      <c r="BE43" s="706">
        <f>_xll.xlDateShiftMonth(BE42,1)</f>
        <v>44163</v>
      </c>
      <c r="BF43" s="707">
        <v>6.8952966837091062E-4</v>
      </c>
      <c r="BU43" s="133" t="s">
        <v>599</v>
      </c>
      <c r="BV43" s="133" t="s">
        <v>599</v>
      </c>
      <c r="BW43" s="133" t="s">
        <v>599</v>
      </c>
      <c r="BX43" s="133" t="s">
        <v>599</v>
      </c>
      <c r="BY43" s="133" t="s">
        <v>599</v>
      </c>
      <c r="BZ43" s="133" t="s">
        <v>599</v>
      </c>
      <c r="CA43" s="133" t="s">
        <v>599</v>
      </c>
      <c r="CB43" s="133" t="s">
        <v>599</v>
      </c>
      <c r="CC43" s="133" t="s">
        <v>599</v>
      </c>
      <c r="CD43" s="133" t="s">
        <v>599</v>
      </c>
      <c r="CE43" s="133" t="s">
        <v>599</v>
      </c>
      <c r="CF43" s="133" t="s">
        <v>599</v>
      </c>
    </row>
    <row r="44" spans="1:84" ht="15" customHeight="1">
      <c r="A44" s="30"/>
      <c r="B44" s="28"/>
      <c r="C44" s="29"/>
      <c r="D44" s="720">
        <f>MAX(_xll.xlDateSettle("TARGET",$D$4,2),L44)</f>
        <v>43179</v>
      </c>
      <c r="E44" s="710" t="s">
        <v>591</v>
      </c>
      <c r="F44" s="22" t="s">
        <v>1177</v>
      </c>
      <c r="G44" s="673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1245</v>
      </c>
      <c r="O44" s="21" t="s">
        <v>1178</v>
      </c>
      <c r="P44" s="21" t="s">
        <v>1246</v>
      </c>
      <c r="Q44" s="24">
        <v>17784500000</v>
      </c>
      <c r="R44" s="21"/>
      <c r="S44" s="42">
        <f>_xll.RtGet("IDN",$X44,$S$9)</f>
        <v>103.19</v>
      </c>
      <c r="T44" s="42">
        <f>_xll.RtGet("IDN",$X44,$T$9)</f>
        <v>103.23</v>
      </c>
      <c r="U44" s="95">
        <f t="shared" si="9"/>
        <v>103.21000000000001</v>
      </c>
      <c r="V44" s="21"/>
      <c r="W44" s="25">
        <f t="shared" si="2"/>
        <v>103.21000000000001</v>
      </c>
      <c r="X44" s="23" t="str">
        <f t="shared" si="3"/>
        <v>IT508688=TT</v>
      </c>
      <c r="Y44" s="23"/>
      <c r="Z44" s="23"/>
      <c r="AA44" s="23"/>
      <c r="AB44" s="23"/>
      <c r="AC44" s="23"/>
      <c r="AD44" s="33">
        <f>IF(ISNUMBER($D44),_xll.xlBondYield($F44,$H44,$G44,$J44,$K44,$L44,$M44,$D44,$W44,IF(NOT($H44),TRUE,FALSE)),"")</f>
        <v>5.5088869355493612E-3</v>
      </c>
      <c r="AE44" s="12"/>
      <c r="AF44" s="12"/>
      <c r="AG44" s="12"/>
      <c r="AH44" s="14"/>
      <c r="AI44" s="14"/>
      <c r="AJ44" s="14"/>
      <c r="AK44" s="246">
        <f>IF(ISNUMBER($D44),_xll.xlBondAswSpread($F44&amp;T(TYPE($AV$1)),$H44,$G44,$J44,$K44,$L44,$M44,$D44,$W44,IF(NOT($H44),TRUE,FALSE),curveName,curveName,,,2),"")</f>
        <v>0.30509595374581078</v>
      </c>
      <c r="AL44" s="213">
        <f>IF($W44&gt;0,_xll.xlBondZSpread(F44&amp;T(TYPE($AV$1)),H44,G44,J44,K44,L44,M44,D44,U44,"annual",5,IF(NOT($H44),TRUE,FALSE),curveName)*100,"")</f>
        <v>30.60364408678798</v>
      </c>
      <c r="AM44" s="266">
        <f>(-IF($AL$9="",VLOOKUP(VLOOKUP(E44,'DB Basis'!$D$2:$H$65205,4,0),Bonds!$AR$1:$AS$6,2,0),$AL$9)*VLOOKUP(E44,'DB Basis'!$D$2:$E$65205,2,0))+IF(V44="",W44,V44)</f>
        <v>54.211885000000002</v>
      </c>
      <c r="AN44" s="274" t="str">
        <f>IF($AN$9+(($AL$9-$AM$9))*('DB Basis'!F203/10-'DB Basis'!E203),," ")</f>
        <v xml:space="preserve"> </v>
      </c>
      <c r="AO44" s="639">
        <f>IF(U44&gt;0,_xll.xlShmImplSwap2(curveName&amp;T(TYPE($AV$1)),curveName,D44,G44,,1,8,2,4),"")</f>
        <v>2.5055838003257181E-3</v>
      </c>
      <c r="AP44" s="640">
        <f t="shared" si="4"/>
        <v>3.0033031352236432E-3</v>
      </c>
      <c r="AQ44" s="386">
        <f t="shared" si="5"/>
        <v>52.726356793568669</v>
      </c>
      <c r="AR44" s="386">
        <f t="shared" si="6"/>
        <v>30.109293182616685</v>
      </c>
      <c r="AS44" s="388"/>
      <c r="AT44" s="242">
        <f t="shared" si="7"/>
        <v>0.54334227309527949</v>
      </c>
      <c r="AU44" s="699" t="str">
        <f t="shared" si="1"/>
        <v>BTP  15-Apr-22  1.35</v>
      </c>
      <c r="AV44" s="703">
        <f t="shared" si="8"/>
        <v>3.8361170964218601E-4</v>
      </c>
      <c r="AW44" s="687"/>
      <c r="AX44" s="687"/>
      <c r="AY44" s="687"/>
      <c r="AZ44" s="687"/>
      <c r="BA44" s="687"/>
      <c r="BB44" s="689">
        <f>_xll.xlInterpKruger(_xll.ohFilter($G$11:$G$89,$BC$11:$BC$89),_xll.ohFilter($AD$11:$AD$89,$BC$11:$BC$89),$G44)</f>
        <v>5.1252752259071752E-3</v>
      </c>
      <c r="BC44" s="695" t="b">
        <v>0</v>
      </c>
      <c r="BE44" s="706">
        <f>_xll.xlDateShiftMonth(BE43,1)</f>
        <v>44193</v>
      </c>
      <c r="BF44" s="707">
        <v>9.8675472009704932E-4</v>
      </c>
      <c r="BU44" s="133" t="s">
        <v>599</v>
      </c>
      <c r="BV44" s="133" t="s">
        <v>599</v>
      </c>
      <c r="BW44" s="133" t="s">
        <v>599</v>
      </c>
      <c r="BX44" s="133" t="s">
        <v>599</v>
      </c>
      <c r="BY44" s="133" t="s">
        <v>599</v>
      </c>
      <c r="BZ44" s="133" t="s">
        <v>599</v>
      </c>
      <c r="CA44" s="133" t="s">
        <v>599</v>
      </c>
      <c r="CB44" s="133" t="s">
        <v>599</v>
      </c>
      <c r="CC44" s="133" t="s">
        <v>599</v>
      </c>
      <c r="CD44" s="133" t="s">
        <v>599</v>
      </c>
      <c r="CE44" s="133" t="s">
        <v>599</v>
      </c>
      <c r="CF44" s="133" t="s">
        <v>599</v>
      </c>
    </row>
    <row r="45" spans="1:84">
      <c r="A45" s="67"/>
      <c r="B45" s="68"/>
      <c r="C45" s="21"/>
      <c r="D45" s="720">
        <f>MAX(_xll.xlDateSettle("TARGET",$D$4,2),L45)</f>
        <v>43179</v>
      </c>
      <c r="E45" s="710" t="s">
        <v>1631</v>
      </c>
      <c r="F45" s="22" t="s">
        <v>1177</v>
      </c>
      <c r="G45" s="673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1247</v>
      </c>
      <c r="O45" s="21" t="s">
        <v>1197</v>
      </c>
      <c r="P45" s="21" t="s">
        <v>1248</v>
      </c>
      <c r="Q45" s="24">
        <v>18302621000</v>
      </c>
      <c r="R45" s="21"/>
      <c r="S45" s="42">
        <f>_xll.RtGet("IDN",$X45,$S$9)</f>
        <v>101.12</v>
      </c>
      <c r="T45" s="42">
        <f>_xll.RtGet("IDN",$X45,$T$9)</f>
        <v>101.15</v>
      </c>
      <c r="U45" s="95">
        <f t="shared" si="9"/>
        <v>101.13500000000001</v>
      </c>
      <c r="V45" s="21"/>
      <c r="W45" s="25">
        <f t="shared" si="2"/>
        <v>101.13500000000001</v>
      </c>
      <c r="X45" s="23" t="str">
        <f t="shared" si="3"/>
        <v>IT527744=TT</v>
      </c>
      <c r="Y45" s="23"/>
      <c r="Z45" s="23"/>
      <c r="AA45" s="23"/>
      <c r="AB45" s="23"/>
      <c r="AC45" s="23"/>
      <c r="AD45" s="33">
        <f>IF(ISNUMBER($D45),_xll.xlBondYield($F45,$H45,$G45,$J45,$K45,$L45,$M45,$D45,$W45,IF(NOT($H45),TRUE,FALSE)),"")</f>
        <v>6.3721566476090258E-3</v>
      </c>
      <c r="AE45" s="12"/>
      <c r="AF45" s="12"/>
      <c r="AG45" s="12"/>
      <c r="AH45" s="14"/>
      <c r="AI45" s="14"/>
      <c r="AJ45" s="14"/>
      <c r="AK45" s="246">
        <f>IF(ISNUMBER($D45),_xll.xlBondAswSpread($F45&amp;T(TYPE($AV$1)),$H45,$G45,$J45,$K45,$L45,$M45,$D45,$W45,IF(NOT($H45),TRUE,FALSE),curveName,curveName,,,2),"")</f>
        <v>0.33513847552326537</v>
      </c>
      <c r="AL45" s="213">
        <f>IF($W45&gt;0,_xll.xlBondZSpread(F45&amp;T(TYPE($AV$1)),H45,G45,J45,K45,L45,M45,D45,U45,"annual",5,IF(NOT($H45),TRUE,FALSE),curveName)*100,"")</f>
        <v>34.038640943852442</v>
      </c>
      <c r="AM45" s="266">
        <f>(-IF($AL$9="",VLOOKUP(VLOOKUP(E45,'DB Basis'!$D$2:$H$65205,4,0),Bonds!$AR$1:$AS$6,2,0),$AL$9)*VLOOKUP(E45,'DB Basis'!$D$2:$E$65205,2,0))+IF(V45="",W45,V45)</f>
        <v>49.543669999999999</v>
      </c>
      <c r="AN45" s="274" t="str">
        <f>IF($AN$9+(($AL$9-$AM$9))*('DB Basis'!F204/10-'DB Basis'!E204),," ")</f>
        <v xml:space="preserve"> </v>
      </c>
      <c r="AO45" s="639">
        <f>IF(U45&gt;0,_xll.xlShmImplSwap2(curveName&amp;T(TYPE($AV$1)),curveName,D45,G45,,1,8,2,4),"")</f>
        <v>3.0106641605676782E-3</v>
      </c>
      <c r="AP45" s="640">
        <f t="shared" si="4"/>
        <v>3.3614924870413476E-3</v>
      </c>
      <c r="AQ45" s="386">
        <f t="shared" si="5"/>
        <v>29.175318972386812</v>
      </c>
      <c r="AR45" s="386">
        <f t="shared" si="6"/>
        <v>12.105473464209453</v>
      </c>
      <c r="AS45" s="388"/>
      <c r="AT45" s="242">
        <f t="shared" si="7"/>
        <v>0.62848668305184918</v>
      </c>
      <c r="AU45" s="699" t="str">
        <f t="shared" si="1"/>
        <v>BTP  01-Aug-22  0.9</v>
      </c>
      <c r="AV45" s="703">
        <f t="shared" si="8"/>
        <v>0</v>
      </c>
      <c r="AW45" s="687"/>
      <c r="AX45" s="687"/>
      <c r="AY45" s="687"/>
      <c r="AZ45" s="687"/>
      <c r="BA45" s="687"/>
      <c r="BB45" s="689">
        <f>_xll.xlInterpKruger(_xll.ohFilter($G$11:$G$89,$BC$11:$BC$89),_xll.ohFilter($AD$11:$AD$89,$BC$11:$BC$89),$G45)</f>
        <v>6.3721566476090258E-3</v>
      </c>
      <c r="BC45" s="695" t="b">
        <v>1</v>
      </c>
      <c r="BE45" s="706">
        <f>_xll.xlDateShiftMonth(BE44,1)</f>
        <v>44224</v>
      </c>
      <c r="BF45" s="707">
        <v>1.3142838896202554E-3</v>
      </c>
      <c r="BU45" s="133" t="s">
        <v>599</v>
      </c>
      <c r="BV45" s="133" t="s">
        <v>599</v>
      </c>
      <c r="BW45" s="133" t="s">
        <v>599</v>
      </c>
      <c r="BX45" s="133" t="s">
        <v>599</v>
      </c>
      <c r="BY45" s="133" t="s">
        <v>599</v>
      </c>
      <c r="BZ45" s="133" t="s">
        <v>599</v>
      </c>
      <c r="CA45" s="133" t="s">
        <v>599</v>
      </c>
      <c r="CB45" s="133" t="s">
        <v>599</v>
      </c>
      <c r="CC45" s="133" t="s">
        <v>599</v>
      </c>
      <c r="CD45" s="133" t="s">
        <v>599</v>
      </c>
      <c r="CE45" s="133" t="s">
        <v>599</v>
      </c>
      <c r="CF45" s="133" t="s">
        <v>599</v>
      </c>
    </row>
    <row r="46" spans="1:84">
      <c r="A46" s="59"/>
      <c r="B46" s="60"/>
      <c r="C46" s="29"/>
      <c r="D46" s="720">
        <f>MAX(_xll.xlDateSettle("TARGET",$D$4,2),L46)</f>
        <v>43179</v>
      </c>
      <c r="E46" s="716" t="s">
        <v>707</v>
      </c>
      <c r="F46" s="87" t="s">
        <v>1177</v>
      </c>
      <c r="G46" s="679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1249</v>
      </c>
      <c r="O46" s="85" t="s">
        <v>1178</v>
      </c>
      <c r="P46" s="85" t="s">
        <v>1250</v>
      </c>
      <c r="Q46" s="89">
        <v>19586032000</v>
      </c>
      <c r="R46" s="85"/>
      <c r="S46" s="90">
        <f>_xll.RtGet("IDN",$X46,$S$9)</f>
        <v>121.25</v>
      </c>
      <c r="T46" s="90">
        <f>_xll.RtGet("IDN",$X46,$T$9)</f>
        <v>121.29</v>
      </c>
      <c r="U46" s="95">
        <f t="shared" si="9"/>
        <v>121.27000000000001</v>
      </c>
      <c r="V46" s="21"/>
      <c r="W46" s="25">
        <f t="shared" si="2"/>
        <v>121.27000000000001</v>
      </c>
      <c r="X46" s="23" t="str">
        <f t="shared" si="3"/>
        <v>IT480154=TT</v>
      </c>
      <c r="Y46" s="23"/>
      <c r="Z46" s="23"/>
      <c r="AA46" s="23"/>
      <c r="AB46" s="23"/>
      <c r="AC46" s="23"/>
      <c r="AD46" s="33">
        <f>IF(ISNUMBER($D46),_xll.xlBondYield($F46,$H46,$G46,$J46,$K46,$L46,$M46,$D46,$W46,IF(NOT($H46),TRUE,FALSE)),"")</f>
        <v>6.4308751065889763E-3</v>
      </c>
      <c r="AE46" s="12"/>
      <c r="AF46" s="12"/>
      <c r="AG46" s="12"/>
      <c r="AH46" s="14"/>
      <c r="AI46" s="14"/>
      <c r="AJ46" s="14"/>
      <c r="AK46" s="246">
        <f>IF(ISNUMBER($D46),_xll.xlBondAswSpread($F46&amp;T(TYPE($AV$1)),$H46,$G46,$J46,$K46,$L46,$M46,$D46,$W46,IF(NOT($H46),TRUE,FALSE),curveName,curveName,,,2),"")</f>
        <v>0.38850724893783156</v>
      </c>
      <c r="AL46" s="213">
        <f>IF($W46&gt;0,_xll.xlBondZSpread(F46&amp;T(TYPE($AV$1)),H46,G46,J46,K46,L46,M46,D46,U46,"annual",5,IF(NOT($H46),TRUE,FALSE),curveName)*100,"")</f>
        <v>35.48498144616314</v>
      </c>
      <c r="AM46" s="266">
        <f>(-IF($AL$9="",VLOOKUP(VLOOKUP(E46,'DB Basis'!$D$2:$H$65205,4,0),Bonds!$AR$1:$AS$6,2,0),$AL$9)*VLOOKUP(E46,'DB Basis'!$D$2:$E$65205,2,0))+IF(V46="",W46,V46)</f>
        <v>62.717935000000004</v>
      </c>
      <c r="AN46" s="274" t="str">
        <f>IF($AN$9+(($AL$9-$AM$9))*('DB Basis'!F205/10-'DB Basis'!E205),," ")</f>
        <v xml:space="preserve"> </v>
      </c>
      <c r="AO46" s="639">
        <f>IF(U46&gt;0,_xll.xlShmImplSwap2(curveName&amp;T(TYPE($AV$1)),curveName,D46,G46,,1,8,2,4),"")</f>
        <v>3.158957208900946E-3</v>
      </c>
      <c r="AP46" s="640">
        <f t="shared" si="4"/>
        <v>3.2719178976880303E-3</v>
      </c>
      <c r="AQ46" s="386">
        <f t="shared" si="5"/>
        <v>6.9136250089296603</v>
      </c>
      <c r="AR46" s="386">
        <f t="shared" si="6"/>
        <v>-10.546685520632517</v>
      </c>
      <c r="AS46" s="388"/>
      <c r="AT46" s="242">
        <f t="shared" si="7"/>
        <v>0.63427809270466606</v>
      </c>
      <c r="AU46" s="699" t="str">
        <f t="shared" si="1"/>
        <v>BTP  01-Sep-22  5.5</v>
      </c>
      <c r="AV46" s="703">
        <f t="shared" si="8"/>
        <v>-2.2966093100237461E-4</v>
      </c>
      <c r="AW46" s="687"/>
      <c r="AX46" s="687"/>
      <c r="AY46" s="687"/>
      <c r="AZ46" s="687"/>
      <c r="BA46" s="687"/>
      <c r="BB46" s="689">
        <f>_xll.xlInterpKruger(_xll.ohFilter($G$11:$G$89,$BC$11:$BC$89),_xll.ohFilter($AD$11:$AD$89,$BC$11:$BC$89),$G46)</f>
        <v>6.6605360375913509E-3</v>
      </c>
      <c r="BC46" s="695" t="b">
        <v>0</v>
      </c>
      <c r="BE46" s="706">
        <f>_xll.xlDateShiftMonth(BE45,1)</f>
        <v>44255</v>
      </c>
      <c r="BF46" s="707">
        <v>1.6404763280971132E-3</v>
      </c>
      <c r="BU46" s="133" t="s">
        <v>599</v>
      </c>
      <c r="BV46" s="133" t="s">
        <v>599</v>
      </c>
      <c r="BW46" s="133" t="s">
        <v>599</v>
      </c>
      <c r="BX46" s="133" t="s">
        <v>599</v>
      </c>
      <c r="BY46" s="133" t="s">
        <v>599</v>
      </c>
      <c r="BZ46" s="133" t="s">
        <v>599</v>
      </c>
      <c r="CA46" s="133" t="s">
        <v>599</v>
      </c>
      <c r="CB46" s="133" t="s">
        <v>599</v>
      </c>
      <c r="CC46" s="133" t="s">
        <v>599</v>
      </c>
      <c r="CD46" s="133" t="s">
        <v>599</v>
      </c>
      <c r="CE46" s="133" t="s">
        <v>599</v>
      </c>
      <c r="CF46" s="133" t="s">
        <v>599</v>
      </c>
    </row>
    <row r="47" spans="1:84">
      <c r="A47" s="26"/>
      <c r="B47" s="20"/>
      <c r="C47" s="21"/>
      <c r="D47" s="720">
        <f>MAX(_xll.xlDateSettle("TARGET",$D$4,2),L47)</f>
        <v>43179</v>
      </c>
      <c r="E47" s="710" t="s">
        <v>820</v>
      </c>
      <c r="F47" s="22" t="s">
        <v>1177</v>
      </c>
      <c r="G47" s="673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1251</v>
      </c>
      <c r="O47" s="21" t="s">
        <v>1178</v>
      </c>
      <c r="P47" s="21" t="s">
        <v>1252</v>
      </c>
      <c r="Q47" s="24">
        <v>17005194000</v>
      </c>
      <c r="R47" s="21"/>
      <c r="S47" s="42">
        <f>_xll.RtGet("IDN",$X47,$S$9)</f>
        <v>103.4</v>
      </c>
      <c r="T47" s="42">
        <f>_xll.RtGet("IDN",$X47,$T$9)</f>
        <v>103.44</v>
      </c>
      <c r="U47" s="95">
        <f t="shared" si="9"/>
        <v>103.42</v>
      </c>
      <c r="V47" s="21"/>
      <c r="W47" s="25">
        <f t="shared" si="2"/>
        <v>103.42</v>
      </c>
      <c r="X47" s="23" t="str">
        <f t="shared" si="3"/>
        <v>IT513584=TT</v>
      </c>
      <c r="Y47" s="23"/>
      <c r="Z47" s="23"/>
      <c r="AA47" s="23"/>
      <c r="AB47" s="23"/>
      <c r="AC47" s="23"/>
      <c r="AD47" s="33">
        <f>IF(ISNUMBER($D47),_xll.xlBondYield($F47,$H47,$G47,$J47,$K47,$L47,$M47,$D47,$W47,IF(NOT($H47),TRUE,FALSE)),"")</f>
        <v>6.7593517665549829E-3</v>
      </c>
      <c r="AE47" s="12"/>
      <c r="AF47" s="12"/>
      <c r="AG47" s="12"/>
      <c r="AH47" s="14"/>
      <c r="AI47" s="14"/>
      <c r="AJ47" s="14"/>
      <c r="AK47" s="246">
        <f>IF(ISNUMBER($D47),_xll.xlBondAswSpread($F47&amp;T(TYPE($AV$1)),$H47,$G47,$J47,$K47,$L47,$M47,$D47,$W47,IF(NOT($H47),TRUE,FALSE),curveName,curveName,,,2),"")</f>
        <v>0.35837368031625072</v>
      </c>
      <c r="AL47" s="213">
        <f>IF($W47&gt;0,_xll.xlBondZSpread(F47&amp;T(TYPE($AV$1)),H47,G47,J47,K47,L47,M47,D47,U47,"annual",5,IF(NOT($H47),TRUE,FALSE),curveName)*100,"")</f>
        <v>35.9598880241807</v>
      </c>
      <c r="AM47" s="266">
        <f>(-IF($AL$9="",VLOOKUP(VLOOKUP(E47,'DB Basis'!$D$2:$H$65205,4,0),Bonds!$AR$1:$AS$6,2,0),$AL$9)*VLOOKUP(E47,'DB Basis'!$D$2:$E$65205,2,0))+IF(V47="",W47,V47)</f>
        <v>49.781394999999996</v>
      </c>
      <c r="AN47" s="274" t="str">
        <f>IF($AN$9+(($AL$9-$AM$9))*('DB Basis'!F206/10-'DB Basis'!E206),," ")</f>
        <v xml:space="preserve"> </v>
      </c>
      <c r="AO47" s="639">
        <f>IF(U47&gt;0,_xll.xlShmImplSwap2(curveName&amp;T(TYPE($AV$1)),curveName,D47,G47,,1,8,2,4),"")</f>
        <v>3.2285243959817534E-3</v>
      </c>
      <c r="AP47" s="640">
        <f t="shared" si="4"/>
        <v>3.5308273705732295E-3</v>
      </c>
      <c r="AQ47" s="386">
        <f t="shared" si="5"/>
        <v>85.638557776851712</v>
      </c>
      <c r="AR47" s="386">
        <f t="shared" si="6"/>
        <v>67.501398287926932</v>
      </c>
      <c r="AS47" s="388"/>
      <c r="AT47" s="242">
        <f t="shared" si="7"/>
        <v>0.66667579067391614</v>
      </c>
      <c r="AU47" s="699" t="str">
        <f t="shared" si="1"/>
        <v>BTP  15-Sep-22  1.45</v>
      </c>
      <c r="AV47" s="703">
        <f t="shared" si="8"/>
        <v>-2.6383676372055201E-5</v>
      </c>
      <c r="AW47" s="687"/>
      <c r="AX47" s="687"/>
      <c r="AY47" s="687"/>
      <c r="AZ47" s="687"/>
      <c r="BA47" s="687"/>
      <c r="BB47" s="689">
        <f>_xll.xlInterpKruger(_xll.ohFilter($G$11:$G$89,$BC$11:$BC$89),_xll.ohFilter($AD$11:$AD$89,$BC$11:$BC$89),$G47)</f>
        <v>6.7857354429270381E-3</v>
      </c>
      <c r="BC47" s="695" t="b">
        <v>0</v>
      </c>
      <c r="BE47" s="706">
        <f>_xll.xlDateShiftMonth(BE46,1)</f>
        <v>44283</v>
      </c>
      <c r="BF47" s="707">
        <v>1.915397474033675E-3</v>
      </c>
      <c r="BU47" s="133" t="s">
        <v>599</v>
      </c>
      <c r="BV47" s="133" t="s">
        <v>599</v>
      </c>
      <c r="BW47" s="133" t="s">
        <v>599</v>
      </c>
      <c r="BX47" s="133" t="s">
        <v>599</v>
      </c>
      <c r="BY47" s="133" t="s">
        <v>599</v>
      </c>
      <c r="BZ47" s="133" t="s">
        <v>599</v>
      </c>
      <c r="CA47" s="133" t="s">
        <v>599</v>
      </c>
      <c r="CB47" s="133" t="s">
        <v>599</v>
      </c>
      <c r="CC47" s="133" t="s">
        <v>599</v>
      </c>
      <c r="CD47" s="133" t="s">
        <v>599</v>
      </c>
      <c r="CE47" s="133" t="s">
        <v>599</v>
      </c>
      <c r="CF47" s="133" t="s">
        <v>599</v>
      </c>
    </row>
    <row r="48" spans="1:84">
      <c r="A48" s="30"/>
      <c r="B48" s="28"/>
      <c r="C48" s="75"/>
      <c r="D48" s="720">
        <f>MAX(_xll.xlDateSettle("TARGET",$D$4,2),L48)</f>
        <v>43179</v>
      </c>
      <c r="E48" s="710" t="s">
        <v>708</v>
      </c>
      <c r="F48" s="22" t="s">
        <v>1177</v>
      </c>
      <c r="G48" s="673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1253</v>
      </c>
      <c r="O48" s="21" t="s">
        <v>1178</v>
      </c>
      <c r="P48" s="21" t="s">
        <v>1254</v>
      </c>
      <c r="Q48" s="24">
        <v>21378388000</v>
      </c>
      <c r="R48" s="21"/>
      <c r="S48" s="42">
        <f>_xll.RtGet("IDN",$X48,$S$9)</f>
        <v>121.67</v>
      </c>
      <c r="T48" s="42">
        <f>_xll.RtGet("IDN",$X48,$T$9)</f>
        <v>121.72</v>
      </c>
      <c r="U48" s="95">
        <f t="shared" si="9"/>
        <v>121.69499999999999</v>
      </c>
      <c r="V48" s="21"/>
      <c r="W48" s="25">
        <f t="shared" si="2"/>
        <v>121.69499999999999</v>
      </c>
      <c r="X48" s="23" t="str">
        <f t="shared" si="3"/>
        <v>IT484883=TT</v>
      </c>
      <c r="Y48" s="23"/>
      <c r="Z48" s="23"/>
      <c r="AA48" s="23"/>
      <c r="AB48" s="23"/>
      <c r="AC48" s="23"/>
      <c r="AD48" s="33">
        <f>IF(ISNUMBER($D48),_xll.xlBondYield($F48,$H48,$G48,$J48,$K48,$L48,$M48,$D48,$W48,IF(NOT($H48),TRUE,FALSE)),"")</f>
        <v>7.1483464362048013E-3</v>
      </c>
      <c r="AE48" s="12"/>
      <c r="AF48" s="12"/>
      <c r="AG48" s="12"/>
      <c r="AH48" s="14"/>
      <c r="AI48" s="14"/>
      <c r="AJ48" s="14"/>
      <c r="AK48" s="246">
        <f>IF(ISNUMBER($D48),_xll.xlBondAswSpread($F48&amp;T(TYPE($AV$1)),$H48,$G48,$J48,$K48,$L48,$M48,$D48,$W48,IF(NOT($H48),TRUE,FALSE),curveName,curveName,,,2),"")</f>
        <v>0.4374302657969763</v>
      </c>
      <c r="AL48" s="213">
        <f>IF($W48&gt;0,_xll.xlBondZSpread(F48&amp;T(TYPE($AV$1)),H48,G48,J48,K48,L48,M48,D48,U48,"annual",5,IF(NOT($H48),TRUE,FALSE),curveName)*100,"")</f>
        <v>39.90106348572445</v>
      </c>
      <c r="AM48" s="266">
        <f>(-IF($AL$9="",VLOOKUP(VLOOKUP(E48,'DB Basis'!$D$2:$H$65205,4,0),Bonds!$AR$1:$AS$6,2,0),$AL$9)*VLOOKUP(E48,'DB Basis'!$D$2:$E$65205,2,0))+IF(V48="",W48,V48)</f>
        <v>61.095659999999988</v>
      </c>
      <c r="AN48" s="274" t="str">
        <f>IF($AN$9+(($AL$9-$AM$9))*('DB Basis'!F207/10-'DB Basis'!E207),," ")</f>
        <v xml:space="preserve"> </v>
      </c>
      <c r="AO48" s="639">
        <f>IF(U48&gt;0,_xll.xlShmImplSwap2(curveName&amp;T(TYPE($AV$1)),curveName,D48,G48,,1,8,2,4),"")</f>
        <v>3.4615521479211958E-3</v>
      </c>
      <c r="AP48" s="640">
        <f t="shared" si="4"/>
        <v>3.6867942882836055E-3</v>
      </c>
      <c r="AQ48" s="386">
        <f t="shared" si="5"/>
        <v>30.209160515358235</v>
      </c>
      <c r="AR48" s="386">
        <f t="shared" si="6"/>
        <v>12.112324460486649</v>
      </c>
      <c r="AS48" s="388"/>
      <c r="AT48" s="242">
        <f t="shared" si="7"/>
        <v>0.7050423882284188</v>
      </c>
      <c r="AU48" s="699" t="str">
        <f t="shared" si="1"/>
        <v>BTP  01-Nov-22  5.5</v>
      </c>
      <c r="AV48" s="703">
        <f t="shared" si="8"/>
        <v>-3.8846739020118037E-5</v>
      </c>
      <c r="AW48" s="687"/>
      <c r="AX48" s="687"/>
      <c r="AY48" s="687"/>
      <c r="AZ48" s="687"/>
      <c r="BA48" s="687"/>
      <c r="BB48" s="689">
        <f>_xll.xlInterpKruger(_xll.ohFilter($G$11:$G$89,$BC$11:$BC$89),_xll.ohFilter($AD$11:$AD$89,$BC$11:$BC$89),$G48)</f>
        <v>7.1871931752249194E-3</v>
      </c>
      <c r="BC48" s="695" t="b">
        <v>0</v>
      </c>
      <c r="BE48" s="706">
        <f>_xll.xlDateShiftMonth(BE47,1)</f>
        <v>44314</v>
      </c>
      <c r="BF48" s="707">
        <v>2.1774155965953875E-3</v>
      </c>
      <c r="BU48" s="133" t="s">
        <v>599</v>
      </c>
      <c r="BV48" s="133" t="s">
        <v>599</v>
      </c>
      <c r="BW48" s="133" t="s">
        <v>599</v>
      </c>
      <c r="BX48" s="133" t="s">
        <v>599</v>
      </c>
      <c r="BY48" s="133" t="s">
        <v>599</v>
      </c>
      <c r="BZ48" s="133" t="s">
        <v>599</v>
      </c>
      <c r="CA48" s="133" t="s">
        <v>599</v>
      </c>
      <c r="CB48" s="133" t="s">
        <v>599</v>
      </c>
      <c r="CC48" s="133" t="s">
        <v>599</v>
      </c>
      <c r="CD48" s="133" t="s">
        <v>599</v>
      </c>
      <c r="CE48" s="133" t="s">
        <v>599</v>
      </c>
      <c r="CF48" s="133" t="s">
        <v>599</v>
      </c>
    </row>
    <row r="49" spans="1:84">
      <c r="A49" s="26"/>
      <c r="B49" s="20"/>
      <c r="C49" s="21"/>
      <c r="D49" s="720">
        <f>MAX(_xll.xlDateSettle("TARGET",$D$4,2),L49)</f>
        <v>43179</v>
      </c>
      <c r="E49" s="710" t="s">
        <v>1739</v>
      </c>
      <c r="F49" s="22" t="s">
        <v>1177</v>
      </c>
      <c r="G49" s="673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100.3</v>
      </c>
      <c r="N49" s="21" t="s">
        <v>1740</v>
      </c>
      <c r="O49" s="21" t="s">
        <v>1178</v>
      </c>
      <c r="P49" s="21" t="s">
        <v>1741</v>
      </c>
      <c r="Q49" s="24">
        <v>5200000000</v>
      </c>
      <c r="R49" s="21"/>
      <c r="S49" s="42">
        <f>_xll.RtGet("IDN",$X49,$S$9)</f>
        <v>100.54</v>
      </c>
      <c r="T49" s="42">
        <f>_xll.RtGet("IDN",$X49,$T$9)</f>
        <v>100.58</v>
      </c>
      <c r="U49" s="95">
        <f t="shared" si="9"/>
        <v>100.56</v>
      </c>
      <c r="V49" s="21"/>
      <c r="W49" s="25">
        <f t="shared" si="2"/>
        <v>100.56</v>
      </c>
      <c r="X49" s="23" t="str">
        <f t="shared" si="3"/>
        <v>IT532594=TT</v>
      </c>
      <c r="Y49" s="23"/>
      <c r="Z49" s="23"/>
      <c r="AA49" s="23"/>
      <c r="AB49" s="23"/>
      <c r="AC49" s="23"/>
      <c r="AD49" s="33">
        <f>IF(ISNUMBER($D49),_xll.xlBondYield($F49,$H49,$G49,$J49,$K49,$L49,$M49,$D49,$W49,IF(NOT($H49),TRUE,FALSE)),"")</f>
        <v>8.3595546741827963E-3</v>
      </c>
      <c r="AE49" s="12"/>
      <c r="AF49" s="12"/>
      <c r="AG49" s="12"/>
      <c r="AH49" s="14"/>
      <c r="AI49" s="14"/>
      <c r="AJ49" s="14"/>
      <c r="AK49" s="246">
        <f>IF(ISNUMBER($D49),_xll.xlBondAswSpread($F49&amp;T(TYPE($AV$1)),$H49,$G49,$J49,$K49,$L49,$M49,$D49,$W49,IF(NOT($H49),TRUE,FALSE),curveName,curveName,,,2),"")</f>
        <v>0.42776955460613714</v>
      </c>
      <c r="AL49" s="213">
        <f>IF($W49&gt;0,_xll.xlBondZSpread(F49&amp;T(TYPE($AV$1)),H49,G49,J49,K49,L49,M49,D49,U49,"annual",5,IF(NOT($H49),TRUE,FALSE),curveName)*100,"")</f>
        <v>43.689746329236726</v>
      </c>
      <c r="AM49" s="266" t="e">
        <f>(-IF($AL$9="",VLOOKUP(VLOOKUP(E49,'DB Basis'!$D$2:$H$65205,4,0),Bonds!$AR$1:$AS$6,2,0),$AL$9)*VLOOKUP(E49,'DB Basis'!$D$2:$E$65205,2,0))+IF(V49="",W49,V49)</f>
        <v>#N/A</v>
      </c>
      <c r="AN49" s="274" t="str">
        <f>IF($AN$9+(($AL$9-$AM$9))*('DB Basis'!F208/10-'DB Basis'!E208),," ")</f>
        <v xml:space="preserve"> </v>
      </c>
      <c r="AO49" s="639">
        <f>IF(U49&gt;0,_xll.xlShmImplSwap2(curveName&amp;T(TYPE($AV$1)),curveName,D49,G49,,1,8,2,4),"")</f>
        <v>4.0303752757929632E-3</v>
      </c>
      <c r="AP49" s="640">
        <f t="shared" si="4"/>
        <v>4.3291793983898331E-3</v>
      </c>
      <c r="AQ49" s="386">
        <f t="shared" si="5"/>
        <v>36.840917238497347</v>
      </c>
      <c r="AR49" s="386">
        <f t="shared" si="6"/>
        <v>19.539213765731091</v>
      </c>
      <c r="AS49" s="388"/>
      <c r="AT49" s="242">
        <f t="shared" si="7"/>
        <v>0.82450402265912515</v>
      </c>
      <c r="AU49" s="700" t="str">
        <f t="shared" si="1"/>
        <v>BTP  01-Mar-23  0.95</v>
      </c>
      <c r="AV49" s="703">
        <f t="shared" si="8"/>
        <v>2.232491492401463E-4</v>
      </c>
      <c r="AW49" s="687"/>
      <c r="AX49" s="687"/>
      <c r="AY49" s="687"/>
      <c r="AZ49" s="687"/>
      <c r="BA49" s="687"/>
      <c r="BB49" s="689">
        <f>_xll.xlInterpKruger(_xll.ohFilter($G$11:$G$89,$BC$11:$BC$89),_xll.ohFilter($AD$11:$AD$89,$BC$11:$BC$89),$G49)</f>
        <v>8.13630552494265E-3</v>
      </c>
      <c r="BC49" s="695" t="b">
        <v>0</v>
      </c>
      <c r="BE49" s="706">
        <f>_xll.xlDateShiftMonth(BE48,1)</f>
        <v>44344</v>
      </c>
      <c r="BF49" s="707">
        <v>2.3798569616995859E-3</v>
      </c>
      <c r="BU49" s="133" t="s">
        <v>599</v>
      </c>
      <c r="BV49" s="133" t="s">
        <v>599</v>
      </c>
      <c r="BW49" s="133" t="s">
        <v>599</v>
      </c>
      <c r="BX49" s="133" t="s">
        <v>599</v>
      </c>
      <c r="BY49" s="133" t="s">
        <v>599</v>
      </c>
      <c r="BZ49" s="133" t="s">
        <v>599</v>
      </c>
      <c r="CA49" s="133" t="s">
        <v>599</v>
      </c>
      <c r="CB49" s="133" t="s">
        <v>599</v>
      </c>
      <c r="CC49" s="133" t="s">
        <v>599</v>
      </c>
      <c r="CD49" s="133" t="s">
        <v>599</v>
      </c>
      <c r="CE49" s="133" t="s">
        <v>599</v>
      </c>
      <c r="CF49" s="133" t="s">
        <v>599</v>
      </c>
    </row>
    <row r="50" spans="1:84">
      <c r="A50" s="30"/>
      <c r="B50" s="28"/>
      <c r="C50" s="29"/>
      <c r="D50" s="720">
        <f>MAX(_xll.xlDateSettle("TARGET",$D$4,2),L50)</f>
        <v>43179</v>
      </c>
      <c r="E50" s="710" t="s">
        <v>821</v>
      </c>
      <c r="F50" s="22" t="s">
        <v>1177</v>
      </c>
      <c r="G50" s="673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1255</v>
      </c>
      <c r="O50" s="21" t="s">
        <v>1178</v>
      </c>
      <c r="P50" s="21" t="s">
        <v>1256</v>
      </c>
      <c r="Q50" s="24">
        <v>16247343000</v>
      </c>
      <c r="R50" s="21"/>
      <c r="S50" s="42">
        <f>_xll.RtGet("IDN",$X50,$S$9)</f>
        <v>100.60000000000001</v>
      </c>
      <c r="T50" s="42">
        <f>_xll.RtGet("IDN",$X50,$T$9)</f>
        <v>100.64</v>
      </c>
      <c r="U50" s="95">
        <f t="shared" si="9"/>
        <v>100.62</v>
      </c>
      <c r="V50" s="21"/>
      <c r="W50" s="25">
        <f t="shared" si="2"/>
        <v>100.62</v>
      </c>
      <c r="X50" s="23" t="str">
        <f t="shared" si="3"/>
        <v>IT517232=TT</v>
      </c>
      <c r="Y50" s="23"/>
      <c r="Z50" s="23"/>
      <c r="AA50" s="23"/>
      <c r="AB50" s="23"/>
      <c r="AC50" s="23"/>
      <c r="AD50" s="33">
        <f>IF(ISNUMBER($D50),_xll.xlBondYield($F50,$H50,$G50,$J50,$K50,$L50,$M50,$D50,$W50,IF(NOT($H50),TRUE,FALSE)),"")</f>
        <v>8.2451648177433688E-3</v>
      </c>
      <c r="AE50" s="12"/>
      <c r="AF50" s="12"/>
      <c r="AG50" s="12"/>
      <c r="AH50" s="14"/>
      <c r="AI50" s="14"/>
      <c r="AJ50" s="14"/>
      <c r="AK50" s="246">
        <f>IF(ISNUMBER($D50),_xll.xlBondAswSpread($F50&amp;T(TYPE($AV$1)),$H50,$G50,$J50,$K50,$L50,$M50,$D50,$W50,IF(NOT($H50),TRUE,FALSE),curveName,curveName,,,2),"")</f>
        <v>0.41000368359541428</v>
      </c>
      <c r="AL50" s="213">
        <f>IF($W50&gt;0,_xll.xlBondZSpread(F50&amp;T(TYPE($AV$1)),H50,G50,J50,K50,L50,M50,D50,U50,"annual",5,IF(NOT($H50),TRUE,FALSE),curveName)*100,"")</f>
        <v>41.866235199339293</v>
      </c>
      <c r="AM50" s="266">
        <f>(-IF($AL$9="",VLOOKUP(VLOOKUP(E50,'DB Basis'!$D$2:$H$65205,4,0),Bonds!$AR$1:$AS$6,2,0),$AL$9)*VLOOKUP(E50,'DB Basis'!$D$2:$E$65205,2,0))+IF(V50="",W50,V50)</f>
        <v>42.613875</v>
      </c>
      <c r="AN50" s="274" t="str">
        <f>IF($AN$9+(($AL$9-$AM$9))*('DB Basis'!F209/10-'DB Basis'!E209),," ")</f>
        <v xml:space="preserve"> </v>
      </c>
      <c r="AO50" s="639">
        <f>IF(U50&gt;0,_xll.xlShmImplSwap2(curveName&amp;T(TYPE($AV$1)),curveName,D50,G50,,1,8,2,4),"")</f>
        <v>4.099401546279813E-3</v>
      </c>
      <c r="AP50" s="640">
        <f t="shared" si="4"/>
        <v>4.1457632714635559E-3</v>
      </c>
      <c r="AQ50" s="386">
        <f t="shared" si="5"/>
        <v>-29.823069714565033</v>
      </c>
      <c r="AR50" s="386">
        <f t="shared" si="6"/>
        <v>-47.819204520065142</v>
      </c>
      <c r="AS50" s="388"/>
      <c r="AT50" s="242">
        <f t="shared" si="7"/>
        <v>0.81322173544866105</v>
      </c>
      <c r="AU50" s="699" t="str">
        <f t="shared" si="1"/>
        <v>BTP  15-Mar-23  0.95</v>
      </c>
      <c r="AV50" s="703">
        <f t="shared" si="8"/>
        <v>0</v>
      </c>
      <c r="AW50" s="687"/>
      <c r="AX50" s="687"/>
      <c r="AY50" s="687"/>
      <c r="AZ50" s="687"/>
      <c r="BA50" s="687"/>
      <c r="BB50" s="689">
        <f>_xll.xlInterpKruger(_xll.ohFilter($G$11:$G$89,$BC$11:$BC$89),_xll.ohFilter($AD$11:$AD$89,$BC$11:$BC$89),$G50)</f>
        <v>8.2451648177433688E-3</v>
      </c>
      <c r="BC50" s="695" t="b">
        <v>1</v>
      </c>
      <c r="BE50" s="706">
        <f>_xll.xlDateShiftMonth(BE49,1)</f>
        <v>44375</v>
      </c>
      <c r="BF50" s="707">
        <v>2.5555785949049684E-3</v>
      </c>
      <c r="BU50" s="133" t="s">
        <v>599</v>
      </c>
      <c r="BV50" s="133" t="s">
        <v>599</v>
      </c>
      <c r="BW50" s="133" t="s">
        <v>599</v>
      </c>
      <c r="BX50" s="133" t="s">
        <v>599</v>
      </c>
      <c r="BY50" s="133" t="s">
        <v>599</v>
      </c>
      <c r="BZ50" s="133" t="s">
        <v>599</v>
      </c>
      <c r="CA50" s="133" t="s">
        <v>599</v>
      </c>
      <c r="CB50" s="133" t="s">
        <v>599</v>
      </c>
      <c r="CC50" s="133" t="s">
        <v>599</v>
      </c>
      <c r="CD50" s="133" t="s">
        <v>599</v>
      </c>
      <c r="CE50" s="133" t="s">
        <v>599</v>
      </c>
      <c r="CF50" s="133" t="s">
        <v>599</v>
      </c>
    </row>
    <row r="51" spans="1:84">
      <c r="A51" s="26"/>
      <c r="B51" s="20"/>
      <c r="C51" s="21"/>
      <c r="D51" s="720">
        <f>MAX(_xll.xlDateSettle("TARGET",$D$4,2),L51)</f>
        <v>43179</v>
      </c>
      <c r="E51" s="710" t="s">
        <v>709</v>
      </c>
      <c r="F51" s="22" t="s">
        <v>1177</v>
      </c>
      <c r="G51" s="673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1257</v>
      </c>
      <c r="O51" s="21" t="s">
        <v>1178</v>
      </c>
      <c r="P51" s="21" t="s">
        <v>1258</v>
      </c>
      <c r="Q51" s="24">
        <v>20070594000</v>
      </c>
      <c r="R51" s="21"/>
      <c r="S51" s="42">
        <f>_xll.RtGet("IDN",$X51,$S$9)</f>
        <v>118.15</v>
      </c>
      <c r="T51" s="42">
        <f>_xll.RtGet("IDN",$X51,$T$9)</f>
        <v>118.2</v>
      </c>
      <c r="U51" s="95">
        <f t="shared" si="9"/>
        <v>118.17500000000001</v>
      </c>
      <c r="V51" s="21"/>
      <c r="W51" s="25">
        <f t="shared" si="2"/>
        <v>118.17500000000001</v>
      </c>
      <c r="X51" s="23" t="str">
        <f t="shared" si="3"/>
        <v>IT489803=TT</v>
      </c>
      <c r="Y51" s="23"/>
      <c r="Z51" s="23"/>
      <c r="AA51" s="23"/>
      <c r="AB51" s="23"/>
      <c r="AC51" s="23"/>
      <c r="AD51" s="33">
        <f>IF(ISNUMBER($D51),_xll.xlBondYield($F51,$H51,$G51,$J51,$K51,$L51,$M51,$D51,$W51,IF(NOT($H51),TRUE,FALSE)),"")</f>
        <v>8.6217379507871131E-3</v>
      </c>
      <c r="AE51" s="12"/>
      <c r="AF51" s="12"/>
      <c r="AG51" s="12"/>
      <c r="AH51" s="14"/>
      <c r="AI51" s="14"/>
      <c r="AJ51" s="14"/>
      <c r="AK51" s="246">
        <f>IF(ISNUMBER($D51),_xll.xlBondAswSpread($F51&amp;T(TYPE($AV$1)),$H51,$G51,$J51,$K51,$L51,$M51,$D51,$W51,IF(NOT($H51),TRUE,FALSE),curveName,curveName,,,2),"")</f>
        <v>0.49529188034861099</v>
      </c>
      <c r="AL51" s="213">
        <f>IF($W51&gt;0,_xll.xlBondZSpread(F51&amp;T(TYPE($AV$1)),H51,G51,J51,K51,L51,M51,D51,U51,"annual",5,IF(NOT($H51),TRUE,FALSE),curveName)*100,"")</f>
        <v>46.106266696940665</v>
      </c>
      <c r="AM51" s="266">
        <f>(-IF($AL$9="",VLOOKUP(VLOOKUP(E51,'DB Basis'!$D$2:$H$65205,4,0),Bonds!$AR$1:$AS$6,2,0),$AL$9)*VLOOKUP(E51,'DB Basis'!$D$2:$E$65205,2,0))+IF(V51="",W51,V51)</f>
        <v>52.798685000000006</v>
      </c>
      <c r="AN51" s="274" t="str">
        <f>IF($AN$9+(($AL$9-$AM$9))*('DB Basis'!F210/10-'DB Basis'!E210),," ")</f>
        <v xml:space="preserve"> </v>
      </c>
      <c r="AO51" s="639">
        <f>IF(U51&gt;0,_xll.xlShmImplSwap2(curveName&amp;T(TYPE($AV$1)),curveName,D51,G51,,1,8,2,4),"")</f>
        <v>4.3073326011304116E-3</v>
      </c>
      <c r="AP51" s="640">
        <f t="shared" si="4"/>
        <v>4.3144053496567015E-3</v>
      </c>
      <c r="AQ51" s="386">
        <f t="shared" si="5"/>
        <v>29.244509268290781</v>
      </c>
      <c r="AR51" s="386">
        <f t="shared" si="6"/>
        <v>13.096672029893224</v>
      </c>
      <c r="AS51" s="388"/>
      <c r="AT51" s="242">
        <f t="shared" si="7"/>
        <v>0.85036319514612613</v>
      </c>
      <c r="AU51" s="699" t="str">
        <f t="shared" si="1"/>
        <v>BTP  01-May-23  4.5</v>
      </c>
      <c r="AV51" s="703">
        <f t="shared" si="8"/>
        <v>2.269236664194374E-5</v>
      </c>
      <c r="AW51" s="687"/>
      <c r="AX51" s="687"/>
      <c r="AY51" s="687"/>
      <c r="AZ51" s="687"/>
      <c r="BA51" s="687"/>
      <c r="BB51" s="689">
        <f>_xll.xlInterpKruger(_xll.ohFilter($G$11:$G$89,$BC$11:$BC$89),_xll.ohFilter($AD$11:$AD$89,$BC$11:$BC$89),$G51)</f>
        <v>8.5990455841451693E-3</v>
      </c>
      <c r="BC51" s="695" t="b">
        <v>0</v>
      </c>
      <c r="BE51" s="706">
        <f>_xll.xlDateShiftMonth(BE50,1)</f>
        <v>44405</v>
      </c>
      <c r="BF51" s="707">
        <v>2.7094998499309518E-3</v>
      </c>
      <c r="BU51" s="133" t="s">
        <v>599</v>
      </c>
      <c r="BV51" s="133" t="s">
        <v>599</v>
      </c>
      <c r="BW51" s="133" t="s">
        <v>599</v>
      </c>
      <c r="BX51" s="133" t="s">
        <v>599</v>
      </c>
      <c r="BY51" s="133" t="s">
        <v>599</v>
      </c>
      <c r="BZ51" s="133" t="s">
        <v>599</v>
      </c>
      <c r="CA51" s="133" t="s">
        <v>599</v>
      </c>
      <c r="CB51" s="133" t="s">
        <v>599</v>
      </c>
      <c r="CC51" s="133" t="s">
        <v>599</v>
      </c>
      <c r="CD51" s="133" t="s">
        <v>599</v>
      </c>
      <c r="CE51" s="133" t="s">
        <v>599</v>
      </c>
      <c r="CF51" s="133" t="s">
        <v>599</v>
      </c>
    </row>
    <row r="52" spans="1:84">
      <c r="A52" s="69"/>
      <c r="B52" s="70"/>
      <c r="C52" s="29"/>
      <c r="D52" s="720">
        <f>MAX(_xll.xlDateSettle("TARGET",$D$4,2),L52)</f>
        <v>43179</v>
      </c>
      <c r="E52" s="710" t="s">
        <v>710</v>
      </c>
      <c r="F52" s="22" t="s">
        <v>1177</v>
      </c>
      <c r="G52" s="673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1259</v>
      </c>
      <c r="O52" s="21" t="s">
        <v>1178</v>
      </c>
      <c r="P52" s="21" t="s">
        <v>1260</v>
      </c>
      <c r="Q52" s="24">
        <v>24799152000</v>
      </c>
      <c r="R52" s="21"/>
      <c r="S52" s="42">
        <f>_xll.RtGet("IDN",$X52,$S$9)</f>
        <v>120.06</v>
      </c>
      <c r="T52" s="42">
        <f>_xll.RtGet("IDN",$X52,$T$9)</f>
        <v>120.10000000000001</v>
      </c>
      <c r="U52" s="95">
        <f t="shared" si="9"/>
        <v>120.08000000000001</v>
      </c>
      <c r="V52" s="21"/>
      <c r="W52" s="25">
        <f t="shared" si="2"/>
        <v>120.08000000000001</v>
      </c>
      <c r="X52" s="23" t="str">
        <f t="shared" si="3"/>
        <v>IT435684=TT</v>
      </c>
      <c r="Y52" s="23"/>
      <c r="Z52" s="23"/>
      <c r="AA52" s="23"/>
      <c r="AB52" s="23"/>
      <c r="AC52" s="23"/>
      <c r="AD52" s="33">
        <f>IF(ISNUMBER($D52),_xll.xlBondYield($F52,$H52,$G52,$J52,$K52,$L52,$M52,$D52,$W52,IF(NOT($H52),TRUE,FALSE)),"")</f>
        <v>9.1203751536683766E-3</v>
      </c>
      <c r="AE52" s="12"/>
      <c r="AF52" s="12"/>
      <c r="AG52" s="12"/>
      <c r="AH52" s="14"/>
      <c r="AI52" s="14"/>
      <c r="AJ52" s="14"/>
      <c r="AK52" s="246">
        <f>IF(ISNUMBER($D52),_xll.xlBondAswSpread($F52&amp;T(TYPE($AV$1)),$H52,$G52,$J52,$K52,$L52,$M52,$D52,$W52,IF(NOT($H52),TRUE,FALSE),curveName,curveName,,,2),"")</f>
        <v>0.51687408399625845</v>
      </c>
      <c r="AL52" s="213">
        <f>IF($W52&gt;0,_xll.xlBondZSpread(F52&amp;T(TYPE($AV$1)),H52,G52,J52,K52,L52,M52,D52,U52,"annual",5,IF(NOT($H52),TRUE,FALSE),curveName)*100,"")</f>
        <v>47.712778497913682</v>
      </c>
      <c r="AM52" s="266">
        <f>(-IF($AL$9="",VLOOKUP(VLOOKUP(E52,'DB Basis'!$D$2:$H$65205,4,0),Bonds!$AR$1:$AS$6,2,0),$AL$9)*VLOOKUP(E52,'DB Basis'!$D$2:$E$65205,2,0))+IF(V52="",W52,V52)</f>
        <v>51.155075000000011</v>
      </c>
      <c r="AN52" s="274" t="str">
        <f>IF($AN$9+(($AL$9-$AM$9))*('DB Basis'!F211/10-'DB Basis'!E211),," ")</f>
        <v xml:space="preserve"> </v>
      </c>
      <c r="AO52" s="639">
        <f>IF(U52&gt;0,_xll.xlShmImplSwap2(curveName&amp;T(TYPE($AV$1)),curveName,D52,G52,,1,8,2,4),"")</f>
        <v>4.6828001606303502E-3</v>
      </c>
      <c r="AP52" s="640">
        <f t="shared" si="4"/>
        <v>4.4375749930380265E-3</v>
      </c>
      <c r="AQ52" s="386">
        <f t="shared" si="5"/>
        <v>19.782889027354479</v>
      </c>
      <c r="AR52" s="386">
        <f t="shared" si="6"/>
        <v>4.8866217211069163</v>
      </c>
      <c r="AS52" s="388"/>
      <c r="AT52" s="242">
        <f t="shared" si="7"/>
        <v>0.89954385077277133</v>
      </c>
      <c r="AU52" s="699" t="str">
        <f t="shared" si="1"/>
        <v>BTP  01-Aug-23  4.75</v>
      </c>
      <c r="AV52" s="703">
        <f t="shared" si="8"/>
        <v>-1.3555578004750823E-4</v>
      </c>
      <c r="AW52" s="687"/>
      <c r="AX52" s="687"/>
      <c r="AY52" s="687"/>
      <c r="AZ52" s="687"/>
      <c r="BA52" s="687"/>
      <c r="BB52" s="689">
        <f>_xll.xlInterpKruger(_xll.ohFilter($G$11:$G$89,$BC$11:$BC$89),_xll.ohFilter($AD$11:$AD$89,$BC$11:$BC$89),$G52)</f>
        <v>9.2559309337158849E-3</v>
      </c>
      <c r="BC52" s="695" t="b">
        <v>0</v>
      </c>
      <c r="BE52" s="706">
        <f>_xll.xlDateShiftMonth(BE51,1)</f>
        <v>44436</v>
      </c>
      <c r="BF52" s="707">
        <v>2.8687780422104203E-3</v>
      </c>
      <c r="BU52" s="133" t="s">
        <v>599</v>
      </c>
      <c r="BV52" s="133" t="s">
        <v>599</v>
      </c>
      <c r="BW52" s="133" t="s">
        <v>599</v>
      </c>
      <c r="BX52" s="133" t="s">
        <v>599</v>
      </c>
      <c r="BY52" s="133" t="s">
        <v>599</v>
      </c>
      <c r="BZ52" s="133" t="s">
        <v>599</v>
      </c>
      <c r="CA52" s="133" t="s">
        <v>599</v>
      </c>
      <c r="CB52" s="133" t="s">
        <v>599</v>
      </c>
      <c r="CC52" s="133" t="s">
        <v>599</v>
      </c>
      <c r="CD52" s="133" t="s">
        <v>599</v>
      </c>
      <c r="CE52" s="133" t="s">
        <v>599</v>
      </c>
      <c r="CF52" s="133" t="s">
        <v>599</v>
      </c>
    </row>
    <row r="53" spans="1:84">
      <c r="A53" s="26"/>
      <c r="B53" s="20"/>
      <c r="C53" s="21" t="s">
        <v>80</v>
      </c>
      <c r="D53" s="720">
        <f>MAX(_xll.xlDateSettle("TARGET",$D$4,2),L53)</f>
        <v>43179</v>
      </c>
      <c r="E53" s="710" t="s">
        <v>882</v>
      </c>
      <c r="F53" s="22" t="s">
        <v>1177</v>
      </c>
      <c r="G53" s="673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1261</v>
      </c>
      <c r="O53" s="21" t="s">
        <v>1197</v>
      </c>
      <c r="P53" s="21" t="s">
        <v>1262</v>
      </c>
      <c r="Q53" s="24">
        <v>14381000000</v>
      </c>
      <c r="R53" s="21"/>
      <c r="S53" s="42">
        <f>_xll.RtGet("IDN",$X53,$S$9)</f>
        <v>98.16</v>
      </c>
      <c r="T53" s="42">
        <f>_xll.RtGet("IDN",$X53,$T$9)</f>
        <v>98.210000000000008</v>
      </c>
      <c r="U53" s="95">
        <f t="shared" si="9"/>
        <v>98.185000000000002</v>
      </c>
      <c r="V53" s="21"/>
      <c r="W53" s="25">
        <f t="shared" si="2"/>
        <v>98.185000000000002</v>
      </c>
      <c r="X53" s="23" t="str">
        <f t="shared" si="3"/>
        <v>IT521524=TT</v>
      </c>
      <c r="Y53" s="23"/>
      <c r="Z53" s="23"/>
      <c r="AA53" s="23"/>
      <c r="AB53" s="23"/>
      <c r="AC53" s="23"/>
      <c r="AD53" s="33">
        <f>IF(ISNUMBER($D53),_xll.xlBondYield($F53,$H53,$G53,$J53,$K53,$L53,$M53,$D53,$W53,IF(NOT($H53),TRUE,FALSE)),"")</f>
        <v>9.8751478743997999E-3</v>
      </c>
      <c r="AE53" s="12"/>
      <c r="AF53" s="12"/>
      <c r="AG53" s="12"/>
      <c r="AH53" s="14"/>
      <c r="AI53" s="14"/>
      <c r="AJ53" s="14"/>
      <c r="AK53" s="246">
        <f>IF(ISNUMBER($D53),_xll.xlBondAswSpread($F53&amp;T(TYPE($AV$1)),$H53,$G53,$J53,$K53,$L53,$M53,$D53,$W53,IF(NOT($H53),TRUE,FALSE),curveName,curveName,,,2),"")</f>
        <v>0.47175844592025401</v>
      </c>
      <c r="AL53" s="213">
        <f>IF($W53&gt;0,_xll.xlBondZSpread(F53&amp;T(TYPE($AV$1)),H53,G53,J53,K53,L53,M53,D53,U53,"annual",5,IF(NOT($H53),TRUE,FALSE),curveName)*100,"")</f>
        <v>48.925430952477846</v>
      </c>
      <c r="AM53" s="266" t="e">
        <f>(-IF($AL$9="",VLOOKUP(VLOOKUP(E53,'DB Basis'!$D$2:$H$65205,4,0),Bonds!$AR$1:$AS$6,2,0),$AL$9)*VLOOKUP(E53,'DB Basis'!$D$2:$E$65205,2,0))+IF(V53="",W53,V53)</f>
        <v>#N/A</v>
      </c>
      <c r="AN53" s="274" t="str">
        <f>IF($AN$9+(($AL$9-$AM$9))*('DB Basis'!F212/10-'DB Basis'!E212),," ")</f>
        <v xml:space="preserve"> </v>
      </c>
      <c r="AO53" s="639">
        <f>IF(U53&gt;0,_xll.xlShmImplSwap2(curveName&amp;T(TYPE($AV$1)),curveName,D53,G53,,1,8,2,4),"")</f>
        <v>4.9986888706195446E-3</v>
      </c>
      <c r="AP53" s="640">
        <f t="shared" si="4"/>
        <v>4.8764590037802553E-3</v>
      </c>
      <c r="AQ53" s="386">
        <f t="shared" si="5"/>
        <v>36.732272408929262</v>
      </c>
      <c r="AR53" s="386">
        <f t="shared" si="6"/>
        <v>21.359021856121799</v>
      </c>
      <c r="AS53" s="388"/>
      <c r="AT53" s="242">
        <f t="shared" si="7"/>
        <v>0.97398718761203507</v>
      </c>
      <c r="AU53" s="699" t="str">
        <f t="shared" si="1"/>
        <v>BTP  15-Oct-23  0.65</v>
      </c>
      <c r="AV53" s="703">
        <f t="shared" si="8"/>
        <v>6.5621116127087195E-5</v>
      </c>
      <c r="AW53" s="687"/>
      <c r="AX53" s="687"/>
      <c r="AY53" s="687"/>
      <c r="AZ53" s="687"/>
      <c r="BA53" s="687"/>
      <c r="BB53" s="689">
        <f>_xll.xlInterpKruger(_xll.ohFilter($G$11:$G$89,$BC$11:$BC$89),_xll.ohFilter($AD$11:$AD$89,$BC$11:$BC$89),$G53)</f>
        <v>9.8095267582727127E-3</v>
      </c>
      <c r="BC53" s="695" t="b">
        <v>0</v>
      </c>
      <c r="BE53" s="706">
        <f>_xll.xlDateShiftMonth(BE52,1)</f>
        <v>44467</v>
      </c>
      <c r="BF53" s="707">
        <v>3.0454590522832311E-3</v>
      </c>
      <c r="BU53" s="133" t="s">
        <v>599</v>
      </c>
      <c r="BV53" s="133" t="s">
        <v>599</v>
      </c>
      <c r="BW53" s="133" t="s">
        <v>599</v>
      </c>
      <c r="BX53" s="133" t="s">
        <v>599</v>
      </c>
      <c r="BY53" s="133" t="s">
        <v>599</v>
      </c>
      <c r="BZ53" s="133" t="s">
        <v>599</v>
      </c>
      <c r="CA53" s="133" t="s">
        <v>599</v>
      </c>
      <c r="CB53" s="133" t="s">
        <v>599</v>
      </c>
      <c r="CC53" s="133" t="s">
        <v>599</v>
      </c>
      <c r="CD53" s="133" t="s">
        <v>599</v>
      </c>
      <c r="CE53" s="133" t="s">
        <v>599</v>
      </c>
      <c r="CF53" s="133" t="s">
        <v>599</v>
      </c>
    </row>
    <row r="54" spans="1:84">
      <c r="A54" s="30"/>
      <c r="B54" s="28"/>
      <c r="C54" s="29"/>
      <c r="D54" s="720">
        <f>MAX(_xll.xlDateSettle("TARGET",$D$4,2),L54)</f>
        <v>43179</v>
      </c>
      <c r="E54" s="710" t="s">
        <v>711</v>
      </c>
      <c r="F54" s="22" t="s">
        <v>1177</v>
      </c>
      <c r="G54" s="673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1263</v>
      </c>
      <c r="O54" s="21" t="s">
        <v>1178</v>
      </c>
      <c r="P54" s="21" t="s">
        <v>1264</v>
      </c>
      <c r="Q54" s="24">
        <v>12226155009</v>
      </c>
      <c r="R54" s="21"/>
      <c r="S54" s="42">
        <f>_xll.RtGet("IDN",$X54,$S$9)</f>
        <v>143.53</v>
      </c>
      <c r="T54" s="42">
        <f>_xll.RtGet("IDN",$X54,$T$9)</f>
        <v>143.57</v>
      </c>
      <c r="U54" s="95">
        <f t="shared" si="9"/>
        <v>143.55000000000001</v>
      </c>
      <c r="V54" s="21"/>
      <c r="W54" s="25">
        <f t="shared" si="2"/>
        <v>143.55000000000001</v>
      </c>
      <c r="X54" s="23" t="str">
        <f t="shared" si="3"/>
        <v>IT36665=TT</v>
      </c>
      <c r="Y54" s="23"/>
      <c r="Z54" s="23"/>
      <c r="AA54" s="23"/>
      <c r="AB54" s="23"/>
      <c r="AC54" s="23"/>
      <c r="AD54" s="33">
        <f>IF(ISNUMBER($D54),_xll.xlBondYield($F54,$H54,$G54,$J54,$K54,$L54,$M54,$D54,$W54,IF(NOT($H54),TRUE,FALSE)),"")</f>
        <v>9.9429764087713979E-3</v>
      </c>
      <c r="AE54" s="12"/>
      <c r="AF54" s="12"/>
      <c r="AG54" s="12"/>
      <c r="AH54" s="14"/>
      <c r="AI54" s="14"/>
      <c r="AJ54" s="14"/>
      <c r="AK54" s="246">
        <f>IF(ISNUMBER($D54),_xll.xlBondAswSpread($F54&amp;T(TYPE($AV$1)),$H54,$G54,$J54,$K54,$L54,$M54,$D54,$W54,IF(NOT($H54),TRUE,FALSE),curveName,curveName,,,2),"")</f>
        <v>0.66428403974215278</v>
      </c>
      <c r="AL54" s="213">
        <f>IF($W54&gt;0,_xll.xlBondZSpread(F54&amp;T(TYPE($AV$1)),H54,G54,J54,K54,L54,M54,D54,U54,"annual",5,IF(NOT($H54),TRUE,FALSE),curveName)*100,"")</f>
        <v>54.980165781508575</v>
      </c>
      <c r="AM54" s="266">
        <f>(-IF($AL$9="",VLOOKUP(VLOOKUP(E54,'DB Basis'!$D$2:$H$65205,4,0),Bonds!$AR$1:$AS$6,2,0),$AL$9)*VLOOKUP(E54,'DB Basis'!$D$2:$E$65205,2,0))+IF(V54="",W54,V54)</f>
        <v>63.296820000000011</v>
      </c>
      <c r="AN54" s="274" t="str">
        <f>IF($AN$9+(($AL$9-$AM$9))*('DB Basis'!F213/10-'DB Basis'!E213),," ")</f>
        <v xml:space="preserve"> </v>
      </c>
      <c r="AO54" s="639">
        <f>IF(U54&gt;0,_xll.xlShmImplSwap2(curveName&amp;T(TYPE($AV$1)),curveName,D54,G54,,1,8,2,4),"")</f>
        <v>5.070251403976541E-3</v>
      </c>
      <c r="AP54" s="640">
        <f t="shared" si="4"/>
        <v>4.8727250047948568E-3</v>
      </c>
      <c r="AQ54" s="386">
        <f t="shared" si="5"/>
        <v>14.563185320960747</v>
      </c>
      <c r="AR54" s="386">
        <f t="shared" si="6"/>
        <v>-0.80171154686495738</v>
      </c>
      <c r="AS54" s="388"/>
      <c r="AT54" s="242">
        <f t="shared" si="7"/>
        <v>0.98067712524868589</v>
      </c>
      <c r="AU54" s="700" t="str">
        <f t="shared" si="1"/>
        <v>BTP  01-Nov-23  9</v>
      </c>
      <c r="AV54" s="703">
        <f t="shared" si="8"/>
        <v>0</v>
      </c>
      <c r="AW54" s="687"/>
      <c r="AX54" s="687"/>
      <c r="AY54" s="687"/>
      <c r="AZ54" s="687"/>
      <c r="BA54" s="687"/>
      <c r="BB54" s="689">
        <f>_xll.xlInterpKruger(_xll.ohFilter($G$11:$G$89,$BC$11:$BC$89),_xll.ohFilter($AD$11:$AD$89,$BC$11:$BC$89),$G54)</f>
        <v>9.9429764087713979E-3</v>
      </c>
      <c r="BC54" s="695" t="b">
        <v>1</v>
      </c>
      <c r="BE54" s="706">
        <f>_xll.xlDateShiftMonth(BE53,1)</f>
        <v>44497</v>
      </c>
      <c r="BF54" s="707">
        <v>3.2493613448842666E-3</v>
      </c>
      <c r="BU54" s="133" t="s">
        <v>599</v>
      </c>
      <c r="BV54" s="133" t="s">
        <v>599</v>
      </c>
      <c r="BW54" s="133" t="s">
        <v>599</v>
      </c>
      <c r="BX54" s="133" t="s">
        <v>599</v>
      </c>
      <c r="BY54" s="133" t="s">
        <v>599</v>
      </c>
      <c r="BZ54" s="133" t="s">
        <v>599</v>
      </c>
      <c r="CA54" s="133" t="s">
        <v>599</v>
      </c>
      <c r="CB54" s="133" t="s">
        <v>599</v>
      </c>
      <c r="CC54" s="133" t="s">
        <v>599</v>
      </c>
      <c r="CD54" s="133" t="s">
        <v>599</v>
      </c>
      <c r="CE54" s="133" t="s">
        <v>599</v>
      </c>
      <c r="CF54" s="133" t="s">
        <v>599</v>
      </c>
    </row>
    <row r="55" spans="1:84">
      <c r="A55" s="26"/>
      <c r="B55" s="20"/>
      <c r="C55" s="21"/>
      <c r="D55" s="720">
        <f>MAX(_xll.xlDateSettle("TARGET",$D$4,2),L55)</f>
        <v>43179</v>
      </c>
      <c r="E55" s="710" t="s">
        <v>712</v>
      </c>
      <c r="F55" s="22" t="s">
        <v>1177</v>
      </c>
      <c r="G55" s="673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1265</v>
      </c>
      <c r="O55" s="21" t="s">
        <v>1178</v>
      </c>
      <c r="P55" s="21" t="s">
        <v>1266</v>
      </c>
      <c r="Q55" s="24">
        <v>23264571000</v>
      </c>
      <c r="R55" s="21"/>
      <c r="S55" s="42">
        <f>_xll.RtGet("IDN",$X55,$S$9)</f>
        <v>119.34</v>
      </c>
      <c r="T55" s="42">
        <f>_xll.RtGet("IDN",$X55,$T$9)</f>
        <v>119.4</v>
      </c>
      <c r="U55" s="95">
        <f t="shared" si="9"/>
        <v>119.37</v>
      </c>
      <c r="V55" s="21"/>
      <c r="W55" s="25">
        <f t="shared" si="2"/>
        <v>119.37</v>
      </c>
      <c r="X55" s="23" t="str">
        <f t="shared" si="3"/>
        <v>IT495341=TT</v>
      </c>
      <c r="Y55" s="23"/>
      <c r="Z55" s="23"/>
      <c r="AA55" s="23"/>
      <c r="AB55" s="23"/>
      <c r="AC55" s="23"/>
      <c r="AD55" s="33">
        <f>IF(ISNUMBER($D55),_xll.xlBondYield($F55,$H55,$G55,$J55,$K55,$L55,$M55,$D55,$W55,IF(NOT($H55),TRUE,FALSE)),"")</f>
        <v>1.1274171047680775E-2</v>
      </c>
      <c r="AE55" s="12"/>
      <c r="AF55" s="12"/>
      <c r="AG55" s="12"/>
      <c r="AH55" s="14"/>
      <c r="AI55" s="14"/>
      <c r="AJ55" s="14"/>
      <c r="AK55" s="246">
        <f>IF(ISNUMBER($D55),_xll.xlBondAswSpread($F55&amp;T(TYPE($AV$1)),$H55,$G55,$J55,$K55,$L55,$M55,$D55,$W55,IF(NOT($H55),TRUE,FALSE),curveName,curveName,,,2),"")</f>
        <v>0.65261842042392537</v>
      </c>
      <c r="AL55" s="213">
        <f>IF($W55&gt;0,_xll.xlBondZSpread(F55&amp;T(TYPE($AV$1)),H55,G55,J55,K55,L55,M55,D55,U55,"annual",5,IF(NOT($H55),TRUE,FALSE),curveName)*100,"")</f>
        <v>60.628655894771164</v>
      </c>
      <c r="AM55" s="266">
        <f>(-IF($AL$9="",VLOOKUP(VLOOKUP(E55,'DB Basis'!$D$2:$H$65205,4,0),Bonds!$AR$1:$AS$6,2,0),$AL$9)*VLOOKUP(E55,'DB Basis'!$D$2:$E$65205,2,0))+IF(V55="",W55,V55)</f>
        <v>44.303249999999991</v>
      </c>
      <c r="AN55" s="274" t="str">
        <f>IF($AN$9+(($AL$9-$AM$9))*('DB Basis'!F214/10-'DB Basis'!E214),," ")</f>
        <v xml:space="preserve"> </v>
      </c>
      <c r="AO55" s="639">
        <f>IF(U55&gt;0,_xll.xlShmImplSwap2(curveName&amp;T(TYPE($AV$1)),curveName,D55,G55,,1,8,2,4),"")</f>
        <v>5.5632963674647762E-3</v>
      </c>
      <c r="AP55" s="640">
        <f t="shared" si="4"/>
        <v>5.7108746802159993E-3</v>
      </c>
      <c r="AQ55" s="386">
        <f t="shared" si="5"/>
        <v>40.155871339001877</v>
      </c>
      <c r="AR55" s="386">
        <f t="shared" si="6"/>
        <v>25.283027399067521</v>
      </c>
      <c r="AS55" s="388"/>
      <c r="AT55" s="242">
        <f t="shared" si="7"/>
        <v>1.1119730348397476</v>
      </c>
      <c r="AU55" s="699" t="str">
        <f t="shared" si="1"/>
        <v>BTP  01-Mar-24  4.5</v>
      </c>
      <c r="AV55" s="703">
        <f t="shared" si="8"/>
        <v>2.9033743719965484E-4</v>
      </c>
      <c r="AW55" s="687"/>
      <c r="AX55" s="687"/>
      <c r="AY55" s="687"/>
      <c r="AZ55" s="687"/>
      <c r="BA55" s="687"/>
      <c r="BB55" s="689">
        <f>_xll.xlInterpKruger(_xll.ohFilter($G$11:$G$89,$BC$11:$BC$89),_xll.ohFilter($AD$11:$AD$89,$BC$11:$BC$89),$G55)</f>
        <v>1.0983833610481121E-2</v>
      </c>
      <c r="BC55" s="695" t="b">
        <v>0</v>
      </c>
      <c r="BE55" s="706">
        <f>_xll.xlDateShiftMonth(BE54,1)</f>
        <v>44528</v>
      </c>
      <c r="BF55" s="707">
        <v>3.5111231412202942E-3</v>
      </c>
      <c r="BU55" s="133" t="s">
        <v>599</v>
      </c>
      <c r="BV55" s="133" t="s">
        <v>599</v>
      </c>
      <c r="BW55" s="133" t="s">
        <v>599</v>
      </c>
      <c r="BX55" s="133" t="s">
        <v>599</v>
      </c>
      <c r="BY55" s="133" t="s">
        <v>599</v>
      </c>
      <c r="BZ55" s="133" t="s">
        <v>599</v>
      </c>
      <c r="CA55" s="133" t="s">
        <v>599</v>
      </c>
      <c r="CB55" s="133" t="s">
        <v>599</v>
      </c>
      <c r="CC55" s="133" t="s">
        <v>599</v>
      </c>
      <c r="CD55" s="133" t="s">
        <v>599</v>
      </c>
      <c r="CE55" s="133" t="s">
        <v>599</v>
      </c>
      <c r="CF55" s="133" t="s">
        <v>599</v>
      </c>
    </row>
    <row r="56" spans="1:84">
      <c r="A56" s="30"/>
      <c r="B56" s="28"/>
      <c r="C56" s="29"/>
      <c r="D56" s="720">
        <f>MAX(_xll.xlDateSettle("TARGET",$D$4,2),L56)</f>
        <v>43179</v>
      </c>
      <c r="E56" s="710" t="s">
        <v>932</v>
      </c>
      <c r="F56" s="22" t="s">
        <v>1177</v>
      </c>
      <c r="G56" s="673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1267</v>
      </c>
      <c r="O56" s="21" t="s">
        <v>1178</v>
      </c>
      <c r="P56" s="21" t="s">
        <v>1268</v>
      </c>
      <c r="Q56" s="24">
        <v>15107458000</v>
      </c>
      <c r="R56" s="21"/>
      <c r="S56" s="42">
        <f>_xll.RtGet("IDN",$X56,$S$9)</f>
        <v>103.91</v>
      </c>
      <c r="T56" s="42">
        <f>_xll.RtGet("IDN",$X56,$T$9)</f>
        <v>103.95</v>
      </c>
      <c r="U56" s="95">
        <f t="shared" si="9"/>
        <v>103.93</v>
      </c>
      <c r="V56" s="21"/>
      <c r="W56" s="25">
        <f>IF(V56="",U56,V56)</f>
        <v>103.93</v>
      </c>
      <c r="X56" s="23" t="str">
        <f t="shared" si="3"/>
        <v>IT524634=TT</v>
      </c>
      <c r="Y56" s="23"/>
      <c r="Z56" s="23"/>
      <c r="AA56" s="23"/>
      <c r="AB56" s="23"/>
      <c r="AC56" s="23"/>
      <c r="AD56" s="33">
        <f>IF(ISNUMBER($D56),_xll.xlBondYield($F56,$H56,$G56,$J56,$K56,$L56,$M56,$D56,$W56,IF(NOT($H56),TRUE,FALSE)),"")</f>
        <v>1.1893850084846162E-2</v>
      </c>
      <c r="AE56" s="12"/>
      <c r="AF56" s="12"/>
      <c r="AG56" s="12"/>
      <c r="AH56" s="14"/>
      <c r="AI56" s="14"/>
      <c r="AJ56" s="14"/>
      <c r="AK56" s="246">
        <f>IF(ISNUMBER($D56),_xll.xlBondAswSpread($F56&amp;T(TYPE($AV$1)),$H56,$G56,$J56,$K56,$L56,$M56,$D56,$W56,IF(NOT($H56),TRUE,FALSE),curveName,curveName,,,2),"")</f>
        <v>0.61326531368802562</v>
      </c>
      <c r="AL56" s="213">
        <f>IF($W56&gt;0,_xll.xlBondZSpread(F56&amp;T(TYPE($AV$1)),H56,G56,J56,K56,L56,M56,D56,U56,"annual",5,IF(NOT($H56),TRUE,FALSE),curveName)*100,"")</f>
        <v>61.771289337339482</v>
      </c>
      <c r="AM56" s="266">
        <f>(-IF($AL$9="",VLOOKUP(VLOOKUP(E56,'DB Basis'!$D$2:$H$65205,4,0),Bonds!$AR$1:$AS$6,2,0),$AL$9)*VLOOKUP(E56,'DB Basis'!$D$2:$E$65205,2,0))+IF(V56="",W56,V56)</f>
        <v>40.600960000000001</v>
      </c>
      <c r="AN56" s="274" t="str">
        <f>IF($AN$9+(($AL$9-$AM$9))*('DB Basis'!F215/10-'DB Basis'!E215),," ")</f>
        <v xml:space="preserve"> </v>
      </c>
      <c r="AO56" s="639">
        <f>IF(U56&gt;0,_xll.xlShmImplSwap2(curveName&amp;T(TYPE($AV$1)),curveName,D56,G56,,1,8,2,4),"")</f>
        <v>5.8480048381216896E-3</v>
      </c>
      <c r="AP56" s="640">
        <f t="shared" si="4"/>
        <v>6.0458452467244727E-3</v>
      </c>
      <c r="AQ56" s="386">
        <f t="shared" si="5"/>
        <v>30.157713142048827</v>
      </c>
      <c r="AR56" s="386">
        <f t="shared" si="6"/>
        <v>16.301900903412371</v>
      </c>
      <c r="AS56" s="388"/>
      <c r="AT56" s="242">
        <f t="shared" si="7"/>
        <v>1.1730920631629091</v>
      </c>
      <c r="AU56" s="699" t="str">
        <f t="shared" si="1"/>
        <v>BTP  15-May-24  1.85</v>
      </c>
      <c r="AV56" s="703">
        <f t="shared" si="8"/>
        <v>2.3234643050908457E-4</v>
      </c>
      <c r="AW56" s="687"/>
      <c r="AX56" s="687"/>
      <c r="AY56" s="687"/>
      <c r="AZ56" s="687"/>
      <c r="BA56" s="687"/>
      <c r="BB56" s="689">
        <f>_xll.xlInterpKruger(_xll.ohFilter($G$11:$G$89,$BC$11:$BC$89),_xll.ohFilter($AD$11:$AD$89,$BC$11:$BC$89),$G56)</f>
        <v>1.1661503654337078E-2</v>
      </c>
      <c r="BC56" s="695" t="b">
        <v>0</v>
      </c>
      <c r="BE56" s="706">
        <f>_xll.xlDateShiftMonth(BE55,1)</f>
        <v>44558</v>
      </c>
      <c r="BF56" s="707">
        <v>3.8137946291226577E-3</v>
      </c>
      <c r="BU56" s="133" t="s">
        <v>599</v>
      </c>
      <c r="BV56" s="133" t="s">
        <v>599</v>
      </c>
      <c r="BW56" s="133" t="s">
        <v>599</v>
      </c>
      <c r="BX56" s="133" t="s">
        <v>599</v>
      </c>
      <c r="BY56" s="133" t="s">
        <v>599</v>
      </c>
      <c r="BZ56" s="133" t="s">
        <v>599</v>
      </c>
      <c r="CA56" s="133" t="s">
        <v>599</v>
      </c>
      <c r="CB56" s="133" t="s">
        <v>599</v>
      </c>
      <c r="CC56" s="133" t="s">
        <v>599</v>
      </c>
      <c r="CD56" s="133" t="s">
        <v>599</v>
      </c>
      <c r="CE56" s="133" t="s">
        <v>599</v>
      </c>
      <c r="CF56" s="133" t="s">
        <v>599</v>
      </c>
    </row>
    <row r="57" spans="1:84">
      <c r="A57" s="26"/>
      <c r="B57" s="20"/>
      <c r="C57" s="21"/>
      <c r="D57" s="720">
        <f>MAX(_xll.xlDateSettle("TARGET",$D$4,2),L57)</f>
        <v>43179</v>
      </c>
      <c r="E57" s="710" t="s">
        <v>423</v>
      </c>
      <c r="F57" s="22" t="s">
        <v>1177</v>
      </c>
      <c r="G57" s="673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1269</v>
      </c>
      <c r="O57" s="21" t="s">
        <v>1178</v>
      </c>
      <c r="P57" s="21" t="s">
        <v>1270</v>
      </c>
      <c r="Q57" s="24">
        <v>19826000000</v>
      </c>
      <c r="R57" s="21"/>
      <c r="S57" s="42">
        <f>_xll.RtGet("IDN",$X57,$S$9)</f>
        <v>115.38</v>
      </c>
      <c r="T57" s="42">
        <f>_xll.RtGet("IDN",$X57,$T$9)</f>
        <v>115.42</v>
      </c>
      <c r="U57" s="95">
        <f t="shared" si="9"/>
        <v>115.4</v>
      </c>
      <c r="V57" s="21"/>
      <c r="W57" s="25">
        <f t="shared" si="2"/>
        <v>115.4</v>
      </c>
      <c r="X57" s="23" t="str">
        <f t="shared" si="3"/>
        <v>IT500154=TT</v>
      </c>
      <c r="Y57" s="23"/>
      <c r="Z57" s="23"/>
      <c r="AA57" s="23"/>
      <c r="AB57" s="23"/>
      <c r="AC57" s="23"/>
      <c r="AD57" s="33">
        <f>IF(ISNUMBER($D57),_xll.xlBondYield($F57,$H57,$G57,$J57,$K57,$L57,$M57,$D57,$W57,IF(NOT($H57),TRUE,FALSE)),"")</f>
        <v>1.2596103468885449E-2</v>
      </c>
      <c r="AE57" s="12"/>
      <c r="AF57" s="12"/>
      <c r="AG57" s="12"/>
      <c r="AH57" s="14"/>
      <c r="AI57" s="14"/>
      <c r="AJ57" s="14"/>
      <c r="AK57" s="246">
        <f>IF(ISNUMBER($D57),_xll.xlBondAswSpread($F57&amp;T(TYPE($AV$1)),$H57,$G57,$J57,$K57,$L57,$M57,$D57,$W57,IF(NOT($H57),TRUE,FALSE),curveName,curveName,,,2),"")</f>
        <v>0.70141635105088873</v>
      </c>
      <c r="AL57" s="213">
        <f>IF($W57&gt;0,_xll.xlBondZSpread(F57&amp;T(TYPE($AV$1)),H57,G57,J57,K57,L57,M57,D57,U57,"annual",5,IF(NOT($H57),TRUE,FALSE),curveName)*100,"")</f>
        <v>66.617850042716213</v>
      </c>
      <c r="AM57" s="266">
        <f>(-IF($AL$9="",VLOOKUP(VLOOKUP(E57,'DB Basis'!$D$2:$H$65205,4,0),Bonds!$AR$1:$AS$6,2,0),$AL$9)*VLOOKUP(E57,'DB Basis'!$D$2:$E$65205,2,0))+IF(V57="",W57,V57)</f>
        <v>36.511670000000009</v>
      </c>
      <c r="AN57" s="274" t="str">
        <f>IF($AN$9+(($AL$9-$AM$9))*('DB Basis'!F216/10-'DB Basis'!E216),," ")</f>
        <v xml:space="preserve"> </v>
      </c>
      <c r="AO57" s="639">
        <f>IF(U57&gt;0,_xll.xlShmImplSwap2(curveName&amp;T(TYPE($AV$1)),curveName,D57,G57,,1,8,2,4),"")</f>
        <v>6.2513752271194881E-3</v>
      </c>
      <c r="AP57" s="640">
        <f t="shared" si="4"/>
        <v>6.3447282417659605E-3</v>
      </c>
      <c r="AQ57" s="386">
        <f t="shared" si="5"/>
        <v>23.515824327921059</v>
      </c>
      <c r="AR57" s="386">
        <f t="shared" si="6"/>
        <v>10.008467265150742</v>
      </c>
      <c r="AS57" s="388"/>
      <c r="AT57" s="242">
        <f t="shared" si="7"/>
        <v>1.2423554106297978</v>
      </c>
      <c r="AU57" s="699" t="str">
        <f t="shared" si="1"/>
        <v>BTP  01-Sep-24  3.75</v>
      </c>
      <c r="AV57" s="703">
        <f t="shared" si="8"/>
        <v>0</v>
      </c>
      <c r="AW57" s="687"/>
      <c r="AX57" s="687"/>
      <c r="AY57" s="687"/>
      <c r="AZ57" s="687"/>
      <c r="BA57" s="687"/>
      <c r="BB57" s="689">
        <f>_xll.xlInterpKruger(_xll.ohFilter($G$11:$G$89,$BC$11:$BC$89),_xll.ohFilter($AD$11:$AD$89,$BC$11:$BC$89),$G57)</f>
        <v>1.2596103468885449E-2</v>
      </c>
      <c r="BC57" s="695" t="b">
        <v>1</v>
      </c>
      <c r="BE57" s="706">
        <f>_xll.xlDateShiftMonth(BE56,1)</f>
        <v>44589</v>
      </c>
      <c r="BF57" s="707">
        <v>4.1651550410147188E-3</v>
      </c>
      <c r="BU57" s="133" t="s">
        <v>599</v>
      </c>
      <c r="BV57" s="133" t="s">
        <v>599</v>
      </c>
      <c r="BW57" s="133" t="s">
        <v>599</v>
      </c>
      <c r="BX57" s="133" t="s">
        <v>599</v>
      </c>
      <c r="BY57" s="133" t="s">
        <v>599</v>
      </c>
      <c r="BZ57" s="133" t="s">
        <v>599</v>
      </c>
      <c r="CA57" s="133" t="s">
        <v>599</v>
      </c>
      <c r="CB57" s="133" t="s">
        <v>599</v>
      </c>
      <c r="CC57" s="133" t="s">
        <v>599</v>
      </c>
      <c r="CD57" s="133" t="s">
        <v>599</v>
      </c>
      <c r="CE57" s="133" t="s">
        <v>599</v>
      </c>
      <c r="CF57" s="133" t="s">
        <v>599</v>
      </c>
    </row>
    <row r="58" spans="1:84">
      <c r="A58" s="30"/>
      <c r="B58" s="28"/>
      <c r="C58" s="29"/>
      <c r="D58" s="720">
        <f>MAX(_xll.xlDateSettle("TARGET",$D$4,2),L58)</f>
        <v>43179</v>
      </c>
      <c r="E58" s="710" t="s">
        <v>994</v>
      </c>
      <c r="F58" s="22" t="s">
        <v>1177</v>
      </c>
      <c r="G58" s="673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1271</v>
      </c>
      <c r="O58" s="21" t="s">
        <v>1197</v>
      </c>
      <c r="P58" s="21" t="s">
        <v>1272</v>
      </c>
      <c r="Q58" s="24">
        <v>15550849000</v>
      </c>
      <c r="R58" s="21"/>
      <c r="S58" s="42">
        <f>_xll.RtGet("IDN",$X58,$S$9)</f>
        <v>100.76</v>
      </c>
      <c r="T58" s="42">
        <f>_xll.RtGet("IDN",$X58,$T$9)</f>
        <v>100.82000000000001</v>
      </c>
      <c r="U58" s="95">
        <f t="shared" si="9"/>
        <v>100.79</v>
      </c>
      <c r="V58" s="21"/>
      <c r="W58" s="25">
        <f t="shared" si="2"/>
        <v>100.79</v>
      </c>
      <c r="X58" s="23" t="str">
        <f t="shared" si="3"/>
        <v>IT528252=TT</v>
      </c>
      <c r="Y58" s="23"/>
      <c r="Z58" s="23"/>
      <c r="AA58" s="23"/>
      <c r="AB58" s="23"/>
      <c r="AC58" s="23"/>
      <c r="AD58" s="33">
        <f>IF(ISNUMBER($D58),_xll.xlBondYield($F58,$H58,$G58,$J58,$K58,$L58,$M58,$D58,$W58,IF(NOT($H58),TRUE,FALSE)),"")</f>
        <v>1.3298775145164733E-2</v>
      </c>
      <c r="AE58" s="12"/>
      <c r="AF58" s="12"/>
      <c r="AG58" s="12"/>
      <c r="AH58" s="14"/>
      <c r="AI58" s="14"/>
      <c r="AJ58" s="14"/>
      <c r="AK58" s="246">
        <f>IF(ISNUMBER($D58),_xll.xlBondAswSpread($F58&amp;T(TYPE($AV$1)),$H58,$G58,$J58,$K58,$L58,$M58,$D58,$W58,IF(NOT($H58),TRUE,FALSE),curveName,curveName,,,2),"")</f>
        <v>0.66902146095367065</v>
      </c>
      <c r="AL58" s="213">
        <f>IF($W58&gt;0,_xll.xlBondZSpread(F58&amp;T(TYPE($AV$1)),H58,G58,J58,K58,L58,M58,D58,U58,"annual",5,IF(NOT($H58),TRUE,FALSE),curveName)*100,"")</f>
        <v>68.675960468031761</v>
      </c>
      <c r="AM58" s="266">
        <f>(-IF($AL$9="",VLOOKUP(VLOOKUP(E58,'DB Basis'!$D$2:$H$65205,4,0),Bonds!$AR$1:$AS$6,2,0),$AL$9)*VLOOKUP(E58,'DB Basis'!$D$2:$E$65205,2,0))+IF(V58="",W58,V58)</f>
        <v>25.859734999999986</v>
      </c>
      <c r="AN58" s="274" t="str">
        <f>IF($AN$9+(($AL$9-$AM$9))*('DB Basis'!F217/10-'DB Basis'!E217),," ")</f>
        <v xml:space="preserve"> </v>
      </c>
      <c r="AO58" s="639">
        <f>IF(U58&gt;0,_xll.xlShmImplSwap2(curveName&amp;T(TYPE($AV$1)),curveName,D58,G58,,1,8,2,4),"")</f>
        <v>6.522837845496874E-3</v>
      </c>
      <c r="AP58" s="640">
        <f t="shared" si="4"/>
        <v>6.7759372996678592E-3</v>
      </c>
      <c r="AQ58" s="386">
        <f t="shared" si="5"/>
        <v>34.196688245591844</v>
      </c>
      <c r="AR58" s="386">
        <f t="shared" si="6"/>
        <v>20.985507484559069</v>
      </c>
      <c r="AS58" s="388"/>
      <c r="AT58" s="242">
        <f t="shared" si="7"/>
        <v>1.3116600143176176</v>
      </c>
      <c r="AU58" s="699" t="str">
        <f t="shared" si="1"/>
        <v>BTP  15-Nov-24  1.45</v>
      </c>
      <c r="AV58" s="703">
        <f t="shared" si="8"/>
        <v>1.0280307753360134E-4</v>
      </c>
      <c r="AW58" s="687"/>
      <c r="AX58" s="687"/>
      <c r="AY58" s="687"/>
      <c r="AZ58" s="687"/>
      <c r="BA58" s="687"/>
      <c r="BB58" s="689">
        <f>_xll.xlInterpKruger(_xll.ohFilter($G$11:$G$89,$BC$11:$BC$89),_xll.ohFilter($AD$11:$AD$89,$BC$11:$BC$89),$G58)</f>
        <v>1.3195972067631132E-2</v>
      </c>
      <c r="BC58" s="695" t="b">
        <v>0</v>
      </c>
      <c r="BE58" s="706">
        <f>_xll.xlDateShiftMonth(BE57,1)</f>
        <v>44620</v>
      </c>
      <c r="BF58" s="707">
        <v>4.5430575232950667E-3</v>
      </c>
      <c r="BU58" s="133" t="s">
        <v>599</v>
      </c>
      <c r="BV58" s="133" t="s">
        <v>599</v>
      </c>
      <c r="BW58" s="133" t="s">
        <v>599</v>
      </c>
      <c r="BX58" s="133" t="s">
        <v>599</v>
      </c>
      <c r="BY58" s="133" t="s">
        <v>599</v>
      </c>
      <c r="BZ58" s="133" t="s">
        <v>599</v>
      </c>
      <c r="CA58" s="133" t="s">
        <v>599</v>
      </c>
      <c r="CB58" s="133" t="s">
        <v>599</v>
      </c>
      <c r="CC58" s="133" t="s">
        <v>599</v>
      </c>
      <c r="CD58" s="133" t="s">
        <v>599</v>
      </c>
      <c r="CE58" s="133" t="s">
        <v>599</v>
      </c>
      <c r="CF58" s="133" t="s">
        <v>599</v>
      </c>
    </row>
    <row r="59" spans="1:84">
      <c r="A59" s="26"/>
      <c r="B59" s="20"/>
      <c r="C59" s="21"/>
      <c r="D59" s="720">
        <f>MAX(_xll.xlDateSettle("TARGET",$D$4,2),L59)</f>
        <v>43179</v>
      </c>
      <c r="E59" s="710" t="s">
        <v>424</v>
      </c>
      <c r="F59" s="22" t="s">
        <v>1177</v>
      </c>
      <c r="G59" s="673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1273</v>
      </c>
      <c r="O59" s="21" t="s">
        <v>1178</v>
      </c>
      <c r="P59" s="21" t="s">
        <v>1274</v>
      </c>
      <c r="Q59" s="24">
        <v>20383767000</v>
      </c>
      <c r="R59" s="21"/>
      <c r="S59" s="42">
        <f>_xll.RtGet("IDN",$X59,$S$9)</f>
        <v>107.44</v>
      </c>
      <c r="T59" s="42">
        <f>_xll.RtGet("IDN",$X59,$T$9)</f>
        <v>107.48</v>
      </c>
      <c r="U59" s="95">
        <f t="shared" si="9"/>
        <v>107.46000000000001</v>
      </c>
      <c r="V59" s="21"/>
      <c r="W59" s="25">
        <f t="shared" si="2"/>
        <v>107.46000000000001</v>
      </c>
      <c r="X59" s="23" t="str">
        <f t="shared" si="3"/>
        <v>IT504527=TT</v>
      </c>
      <c r="Y59" s="23"/>
      <c r="Z59" s="23"/>
      <c r="AA59" s="23"/>
      <c r="AB59" s="23"/>
      <c r="AC59" s="23"/>
      <c r="AD59" s="33">
        <f>IF(ISNUMBER($D59),_xll.xlBondYield($F59,$H59,$G59,$J59,$K59,$L59,$M59,$D59,$W59,IF(NOT($H59),TRUE,FALSE)),"")</f>
        <v>1.3362438811812885E-2</v>
      </c>
      <c r="AE59" s="12"/>
      <c r="AF59" s="12"/>
      <c r="AG59" s="12"/>
      <c r="AH59" s="14"/>
      <c r="AI59" s="14"/>
      <c r="AJ59" s="14"/>
      <c r="AK59" s="246">
        <f>IF(ISNUMBER($D59),_xll.xlBondAswSpread($F59&amp;T(TYPE($AV$1)),$H59,$G59,$J59,$K59,$L59,$M59,$D59,$W59,IF(NOT($H59),TRUE,FALSE),curveName,curveName,,,2),"")</f>
        <v>0.70575207134841811</v>
      </c>
      <c r="AL59" s="213">
        <f>IF($W59&gt;0,_xll.xlBondZSpread(F59&amp;T(TYPE($AV$1)),H59,G59,J59,K59,L59,M59,D59,U59,"annual",5,IF(NOT($H59),TRUE,FALSE),curveName)*100,"")</f>
        <v>69.905031865582373</v>
      </c>
      <c r="AM59" s="266">
        <f>(-IF($AL$9="",VLOOKUP(VLOOKUP(E59,'DB Basis'!$D$2:$H$65205,4,0),Bonds!$AR$1:$AS$6,2,0),$AL$9)*VLOOKUP(E59,'DB Basis'!$D$2:$E$65205,2,0))+IF(V59="",W59,V59)</f>
        <v>29.117610000000013</v>
      </c>
      <c r="AN59" s="274" t="str">
        <f>IF($AN$9+(($AL$9-$AM$9))*('DB Basis'!F218/10-'DB Basis'!E218),," ")</f>
        <v xml:space="preserve"> </v>
      </c>
      <c r="AO59" s="639">
        <f>IF(U59&gt;0,_xll.xlShmImplSwap2(curveName&amp;T(TYPE($AV$1)),curveName,D59,G59,,1,8,2,4),"")</f>
        <v>6.5840209970718707E-3</v>
      </c>
      <c r="AP59" s="640">
        <f t="shared" si="4"/>
        <v>6.7784178147410144E-3</v>
      </c>
      <c r="AQ59" s="386">
        <f t="shared" si="5"/>
        <v>14.523273954109646</v>
      </c>
      <c r="AR59" s="386">
        <f t="shared" si="6"/>
        <v>0.56586750106351891</v>
      </c>
      <c r="AS59" s="388"/>
      <c r="AT59" s="242">
        <f t="shared" si="7"/>
        <v>1.3179391704801751</v>
      </c>
      <c r="AU59" s="700" t="str">
        <f t="shared" si="1"/>
        <v>BTP  01-Dec-24  2.5</v>
      </c>
      <c r="AV59" s="703">
        <f t="shared" si="8"/>
        <v>3.989046503063802E-5</v>
      </c>
      <c r="AW59" s="687"/>
      <c r="AX59" s="687"/>
      <c r="AY59" s="687"/>
      <c r="AZ59" s="687"/>
      <c r="BA59" s="687"/>
      <c r="BB59" s="689">
        <f>_xll.xlInterpKruger(_xll.ohFilter($G$11:$G$89,$BC$11:$BC$89),_xll.ohFilter($AD$11:$AD$89,$BC$11:$BC$89),$G59)</f>
        <v>1.3322548346782247E-2</v>
      </c>
      <c r="BC59" s="695" t="b">
        <v>0</v>
      </c>
      <c r="BE59" s="706">
        <f>_xll.xlDateShiftMonth(BE58,1)</f>
        <v>44648</v>
      </c>
      <c r="BF59" s="707">
        <v>4.8965315682691175E-3</v>
      </c>
      <c r="BU59" s="133" t="s">
        <v>599</v>
      </c>
      <c r="BV59" s="133" t="s">
        <v>599</v>
      </c>
      <c r="BW59" s="133" t="s">
        <v>599</v>
      </c>
      <c r="BX59" s="133" t="s">
        <v>599</v>
      </c>
      <c r="BY59" s="133" t="s">
        <v>599</v>
      </c>
      <c r="BZ59" s="133" t="s">
        <v>599</v>
      </c>
      <c r="CA59" s="133" t="s">
        <v>599</v>
      </c>
      <c r="CB59" s="133" t="s">
        <v>599</v>
      </c>
      <c r="CC59" s="133" t="s">
        <v>599</v>
      </c>
      <c r="CD59" s="133" t="s">
        <v>599</v>
      </c>
      <c r="CE59" s="133" t="s">
        <v>599</v>
      </c>
      <c r="CF59" s="133" t="s">
        <v>599</v>
      </c>
    </row>
    <row r="60" spans="1:84">
      <c r="A60" s="30"/>
      <c r="B60" s="28"/>
      <c r="C60" s="29"/>
      <c r="D60" s="720">
        <f>MAX(_xll.xlDateSettle("TARGET",$D$4,2),L60)</f>
        <v>43179</v>
      </c>
      <c r="E60" s="710" t="s">
        <v>713</v>
      </c>
      <c r="F60" s="22" t="s">
        <v>1177</v>
      </c>
      <c r="G60" s="673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1275</v>
      </c>
      <c r="O60" s="21" t="s">
        <v>1178</v>
      </c>
      <c r="P60" s="21" t="s">
        <v>1276</v>
      </c>
      <c r="Q60" s="24">
        <v>24718669000</v>
      </c>
      <c r="R60" s="21"/>
      <c r="S60" s="42">
        <f>_xll.RtGet("IDN",$X60,$S$9)</f>
        <v>123.99000000000001</v>
      </c>
      <c r="T60" s="42">
        <f>_xll.RtGet("IDN",$X60,$T$9)</f>
        <v>124.05</v>
      </c>
      <c r="U60" s="95">
        <f t="shared" si="9"/>
        <v>124.02000000000001</v>
      </c>
      <c r="V60" s="21"/>
      <c r="W60" s="25">
        <f t="shared" si="2"/>
        <v>124.02000000000001</v>
      </c>
      <c r="X60" s="23" t="str">
        <f t="shared" si="3"/>
        <v>IT451364=TT</v>
      </c>
      <c r="Y60" s="23"/>
      <c r="Z60" s="23"/>
      <c r="AA60" s="23"/>
      <c r="AB60" s="23"/>
      <c r="AC60" s="23"/>
      <c r="AD60" s="33">
        <f>IF(ISNUMBER($D60),_xll.xlBondYield($F60,$H60,$G60,$J60,$K60,$L60,$M60,$D60,$W60,IF(NOT($H60),TRUE,FALSE)),"")</f>
        <v>1.3683618722936941E-2</v>
      </c>
      <c r="AE60" s="12"/>
      <c r="AF60" s="12"/>
      <c r="AG60" s="12"/>
      <c r="AH60" s="14"/>
      <c r="AI60" s="14"/>
      <c r="AJ60" s="14"/>
      <c r="AK60" s="246">
        <f>IF(ISNUMBER($D60),_xll.xlBondAswSpread($F60&amp;T(TYPE($AV$1)),$H60,$G60,$J60,$K60,$L60,$M60,$D60,$W60,IF(NOT($H60),TRUE,FALSE),curveName,curveName,,,2),"")</f>
        <v>0.79496097742165461</v>
      </c>
      <c r="AL60" s="213">
        <f>IF($W60&gt;0,_xll.xlBondZSpread(F60&amp;T(TYPE($AV$1)),H60,G60,J60,K60,L60,M60,D60,U60,"annual",5,IF(NOT($H60),TRUE,FALSE),curveName)*100,"")</f>
        <v>72.482257859692282</v>
      </c>
      <c r="AM60" s="266">
        <f>(-IF($AL$9="",VLOOKUP(VLOOKUP(E60,'DB Basis'!$D$2:$H$65205,4,0),Bonds!$AR$1:$AS$6,2,0),$AL$9)*VLOOKUP(E60,'DB Basis'!$D$2:$E$65205,2,0))+IF(V60="",W60,V60)</f>
        <v>36.123660000000001</v>
      </c>
      <c r="AN60" s="274" t="str">
        <f>IF($AN$9+(($AL$9-$AM$9))*('DB Basis'!F219/10-'DB Basis'!E219),," ")</f>
        <v xml:space="preserve"> </v>
      </c>
      <c r="AO60" s="639">
        <f>IF(U60&gt;0,_xll.xlShmImplSwap2(curveName&amp;T(TYPE($AV$1)),curveName,D60,G60,,1,8,2,4),"")</f>
        <v>6.909950469933028E-3</v>
      </c>
      <c r="AP60" s="640">
        <f t="shared" si="4"/>
        <v>6.773668253003913E-3</v>
      </c>
      <c r="AQ60" s="386">
        <f t="shared" si="5"/>
        <v>13.025629728920048</v>
      </c>
      <c r="AR60" s="386">
        <f t="shared" si="6"/>
        <v>-0.1926211148935548</v>
      </c>
      <c r="AS60" s="388"/>
      <c r="AT60" s="242">
        <f t="shared" si="7"/>
        <v>1.3496171891115889</v>
      </c>
      <c r="AU60" s="699" t="str">
        <f t="shared" si="1"/>
        <v>BTP  01-Mar-25  5</v>
      </c>
      <c r="AV60" s="703">
        <f t="shared" si="8"/>
        <v>-3.2169317572989901E-4</v>
      </c>
      <c r="AW60" s="687"/>
      <c r="AX60" s="687"/>
      <c r="AY60" s="687"/>
      <c r="AZ60" s="687"/>
      <c r="BA60" s="687"/>
      <c r="BB60" s="689">
        <f>_xll.xlInterpKruger(_xll.ohFilter($G$11:$G$89,$BC$11:$BC$89),_xll.ohFilter($AD$11:$AD$89,$BC$11:$BC$89),$G60)</f>
        <v>1.400531189866684E-2</v>
      </c>
      <c r="BC60" s="695" t="b">
        <v>0</v>
      </c>
      <c r="BE60" s="706">
        <f>_xll.xlDateShiftMonth(BE59,1)</f>
        <v>44679</v>
      </c>
      <c r="BF60" s="707">
        <v>5.2895076192838435E-3</v>
      </c>
      <c r="BU60" s="133" t="s">
        <v>599</v>
      </c>
      <c r="BV60" s="133" t="s">
        <v>599</v>
      </c>
      <c r="BW60" s="133" t="s">
        <v>599</v>
      </c>
      <c r="BX60" s="133" t="s">
        <v>599</v>
      </c>
      <c r="BY60" s="133" t="s">
        <v>599</v>
      </c>
      <c r="BZ60" s="133" t="s">
        <v>599</v>
      </c>
      <c r="CA60" s="133" t="s">
        <v>599</v>
      </c>
      <c r="CB60" s="133" t="s">
        <v>599</v>
      </c>
      <c r="CC60" s="133" t="s">
        <v>599</v>
      </c>
      <c r="CD60" s="133" t="s">
        <v>599</v>
      </c>
      <c r="CE60" s="133" t="s">
        <v>599</v>
      </c>
      <c r="CF60" s="133" t="s">
        <v>599</v>
      </c>
    </row>
    <row r="61" spans="1:84">
      <c r="A61" s="26"/>
      <c r="B61" s="20"/>
      <c r="C61" s="21"/>
      <c r="D61" s="720">
        <f>MAX(_xll.xlDateSettle("TARGET",$D$4,2),L61)</f>
        <v>43179</v>
      </c>
      <c r="E61" s="710" t="s">
        <v>2073</v>
      </c>
      <c r="F61" s="22" t="s">
        <v>1177</v>
      </c>
      <c r="G61" s="673">
        <v>45792</v>
      </c>
      <c r="H61" s="36">
        <v>1.45</v>
      </c>
      <c r="I61" s="20">
        <v>45792</v>
      </c>
      <c r="J61" s="20">
        <v>43174</v>
      </c>
      <c r="K61" s="20">
        <v>43235</v>
      </c>
      <c r="L61" s="20">
        <v>43174</v>
      </c>
      <c r="M61" s="21">
        <v>99.92</v>
      </c>
      <c r="N61" s="21" t="s">
        <v>2074</v>
      </c>
      <c r="O61" s="21" t="s">
        <v>1178</v>
      </c>
      <c r="P61" s="21" t="s">
        <v>2075</v>
      </c>
      <c r="Q61" s="24">
        <v>5200000000</v>
      </c>
      <c r="R61" s="21"/>
      <c r="S61" s="42">
        <f>_xll.RtGet("IDN",$X61,$S$9)</f>
        <v>99.83</v>
      </c>
      <c r="T61" s="42">
        <f>_xll.RtGet("IDN",$X61,$T$9)</f>
        <v>99.89</v>
      </c>
      <c r="U61" s="95">
        <f t="shared" si="9"/>
        <v>99.86</v>
      </c>
      <c r="V61" s="21"/>
      <c r="W61" s="25">
        <f t="shared" si="2"/>
        <v>99.86</v>
      </c>
      <c r="X61" s="23" t="str">
        <f t="shared" si="3"/>
        <v>IT532730=TT</v>
      </c>
      <c r="Y61" s="23"/>
      <c r="Z61" s="23"/>
      <c r="AA61" s="23"/>
      <c r="AB61" s="23"/>
      <c r="AC61" s="23"/>
      <c r="AD61" s="33">
        <f>IF(ISNUMBER($D61),_xll.xlBondYield($F61,$H61,$G61,$J61,$K61,$L61,$M61,$D61,$W61,IF(NOT($H61),TRUE,FALSE)),"")</f>
        <v>1.4761549238646067E-2</v>
      </c>
      <c r="AE61" s="12"/>
      <c r="AF61" s="12"/>
      <c r="AG61" s="12"/>
      <c r="AH61" s="14"/>
      <c r="AI61" s="14"/>
      <c r="AJ61" s="14"/>
      <c r="AK61" s="246">
        <f>IF(ISNUMBER($D61),_xll.xlBondAswSpread($F61&amp;T(TYPE($AV$1)),$H61,$G61,$J61,$K61,$L61,$M61,$D61,$W61,IF(NOT($H61),TRUE,FALSE),curveName,curveName,,,2),"")</f>
        <v>0.74512001892012802</v>
      </c>
      <c r="AL61" s="213">
        <f>IF($W61&gt;0,_xll.xlBondZSpread(F61&amp;T(TYPE($AV$1)),H61,G61,J61,K61,L61,M61,D61,U61,"annual",5,IF(NOT($H61),TRUE,FALSE),curveName)*100,"")</f>
        <v>77.02904305404266</v>
      </c>
      <c r="AM61" s="266" t="e">
        <f>(-IF($AL$9="",VLOOKUP(VLOOKUP(E61,'DB Basis'!$D$2:$H$65205,4,0),Bonds!$AR$1:$AS$6,2,0),$AL$9)*VLOOKUP(E61,'DB Basis'!$D$2:$E$65205,2,0))+IF(V61="",W61,V61)</f>
        <v>#N/A</v>
      </c>
      <c r="AN61" s="274" t="str">
        <f>IF($AN$9+(($AL$9-$AM$9))*('DB Basis'!F220/10-'DB Basis'!E220),," ")</f>
        <v xml:space="preserve"> </v>
      </c>
      <c r="AO61" s="639">
        <f>IF(U61&gt;0,_xll.xlShmImplSwap2(curveName&amp;T(TYPE($AV$1)),curveName,D61,G61,,1,8,2,4),"")</f>
        <v>7.1560945162628129E-3</v>
      </c>
      <c r="AP61" s="640">
        <f t="shared" si="4"/>
        <v>7.6054547223832541E-3</v>
      </c>
      <c r="AQ61" s="386">
        <f t="shared" si="5"/>
        <v>52.459285097844131</v>
      </c>
      <c r="AR61" s="386">
        <f t="shared" si="6"/>
        <v>40.480274843127937</v>
      </c>
      <c r="AS61" s="388"/>
      <c r="AT61" s="242">
        <f t="shared" si="7"/>
        <v>1.4559336235376943</v>
      </c>
      <c r="AU61" s="699" t="str">
        <f t="shared" si="1"/>
        <v>BTP  15-May-25  1.45</v>
      </c>
      <c r="AV61" s="703">
        <f t="shared" si="8"/>
        <v>2.5123272511692364E-4</v>
      </c>
      <c r="AW61" s="687"/>
      <c r="AX61" s="687"/>
      <c r="AY61" s="687"/>
      <c r="AZ61" s="687"/>
      <c r="BA61" s="687"/>
      <c r="BB61" s="689">
        <f>_xll.xlInterpKruger(_xll.ohFilter($G$11:$G$89,$BC$11:$BC$89),_xll.ohFilter($AD$11:$AD$89,$BC$11:$BC$89),$G61)</f>
        <v>1.4510316513529143E-2</v>
      </c>
      <c r="BC61" s="695" t="b">
        <v>0</v>
      </c>
      <c r="BE61" s="706">
        <f>_xll.xlDateShiftMonth(BE60,1)</f>
        <v>44709</v>
      </c>
      <c r="BF61" s="707">
        <v>5.6597485857617178E-3</v>
      </c>
      <c r="BU61" s="133" t="s">
        <v>599</v>
      </c>
      <c r="BV61" s="133" t="s">
        <v>599</v>
      </c>
      <c r="BW61" s="133" t="s">
        <v>599</v>
      </c>
      <c r="BX61" s="133" t="s">
        <v>599</v>
      </c>
      <c r="BY61" s="133" t="s">
        <v>599</v>
      </c>
      <c r="BZ61" s="133" t="s">
        <v>599</v>
      </c>
      <c r="CA61" s="133" t="s">
        <v>599</v>
      </c>
      <c r="CB61" s="133" t="s">
        <v>599</v>
      </c>
      <c r="CC61" s="133" t="s">
        <v>599</v>
      </c>
      <c r="CD61" s="133" t="s">
        <v>599</v>
      </c>
      <c r="CE61" s="133" t="s">
        <v>599</v>
      </c>
      <c r="CF61" s="133" t="s">
        <v>599</v>
      </c>
    </row>
    <row r="62" spans="1:84">
      <c r="A62" s="30"/>
      <c r="B62" s="28"/>
      <c r="C62" s="71"/>
      <c r="D62" s="720">
        <f>MAX(_xll.xlDateSettle("TARGET",$D$4,2),L62)</f>
        <v>43179</v>
      </c>
      <c r="E62" s="710" t="s">
        <v>593</v>
      </c>
      <c r="F62" s="22" t="s">
        <v>1177</v>
      </c>
      <c r="G62" s="673">
        <v>45809</v>
      </c>
      <c r="H62" s="36">
        <v>1.5</v>
      </c>
      <c r="I62" s="20">
        <v>45809</v>
      </c>
      <c r="J62" s="20">
        <v>42065</v>
      </c>
      <c r="K62" s="20">
        <v>42156</v>
      </c>
      <c r="L62" s="20">
        <v>42065</v>
      </c>
      <c r="M62" s="21">
        <v>101.4</v>
      </c>
      <c r="N62" s="21" t="s">
        <v>1277</v>
      </c>
      <c r="O62" s="21" t="s">
        <v>1178</v>
      </c>
      <c r="P62" s="21" t="s">
        <v>1278</v>
      </c>
      <c r="Q62" s="24">
        <v>19786723000</v>
      </c>
      <c r="R62" s="21"/>
      <c r="S62" s="42">
        <f>_xll.RtGet("IDN",$X62,$S$9)</f>
        <v>100.27</v>
      </c>
      <c r="T62" s="42">
        <f>_xll.RtGet("IDN",$X62,$T$9)</f>
        <v>100.32000000000001</v>
      </c>
      <c r="U62" s="95">
        <f t="shared" si="9"/>
        <v>100.295</v>
      </c>
      <c r="V62" s="21"/>
      <c r="W62" s="25">
        <f t="shared" si="2"/>
        <v>100.295</v>
      </c>
      <c r="X62" s="23" t="str">
        <f t="shared" si="3"/>
        <v>IT509031=TT</v>
      </c>
      <c r="Y62" s="23"/>
      <c r="Z62" s="23"/>
      <c r="AA62" s="23"/>
      <c r="AB62" s="23"/>
      <c r="AC62" s="23"/>
      <c r="AD62" s="33">
        <f>IF(ISNUMBER($D62),_xll.xlBondYield($F62,$H62,$G62,$J62,$K62,$L62,$M62,$D62,$W62,IF(NOT($H62),TRUE,FALSE)),"")</f>
        <v>1.4613389427733431E-2</v>
      </c>
      <c r="AE62" s="12"/>
      <c r="AF62" s="12"/>
      <c r="AG62" s="12"/>
      <c r="AH62" s="14"/>
      <c r="AI62" s="14"/>
      <c r="AJ62" s="14"/>
      <c r="AK62" s="246">
        <f>IF(ISNUMBER($D62),_xll.xlBondAswSpread($F62&amp;T(TYPE($AV$1)),$H62,$G62,$J62,$K62,$L62,$M62,$D62,$W62,IF(NOT($H62),TRUE,FALSE),curveName,curveName,,,2),"")</f>
        <v>0.72747321722993985</v>
      </c>
      <c r="AL62" s="213">
        <f>IF($W62&gt;0,_xll.xlBondZSpread(F62&amp;T(TYPE($AV$1)),H62,G62,J62,K62,L62,M62,D62,U62,"annual",5,IF(NOT($H62),TRUE,FALSE),curveName)*100,"")</f>
        <v>75.026255831506433</v>
      </c>
      <c r="AM62" s="266">
        <f>(-IF($AL$9="",VLOOKUP(VLOOKUP(E62,'DB Basis'!$D$2:$H$65205,4,0),Bonds!$AR$1:$AS$6,2,0),$AL$9)*VLOOKUP(E62,'DB Basis'!$D$2:$E$65205,2,0))+IF(V62="",W62,V62)</f>
        <v>20.314790000000002</v>
      </c>
      <c r="AN62" s="274" t="str">
        <f>IF($AN$9+(($AL$9-$AM$9))*('DB Basis'!F221/10-'DB Basis'!E221),," ")</f>
        <v xml:space="preserve"> </v>
      </c>
      <c r="AO62" s="639">
        <f>IF(U62&gt;0,_xll.xlShmImplSwap2(curveName&amp;T(TYPE($AV$1)),curveName,D62,G62,,1,8,2,4),"")</f>
        <v>7.216837736958818E-3</v>
      </c>
      <c r="AP62" s="640">
        <f t="shared" si="4"/>
        <v>7.3965516907746132E-3</v>
      </c>
      <c r="AQ62" s="386">
        <f t="shared" si="5"/>
        <v>-31.81078293124239</v>
      </c>
      <c r="AR62" s="386">
        <f t="shared" si="6"/>
        <v>-44.852709727737611</v>
      </c>
      <c r="AS62" s="388"/>
      <c r="AT62" s="242">
        <f t="shared" si="7"/>
        <v>1.4413206010915165</v>
      </c>
      <c r="AU62" s="700" t="str">
        <f t="shared" si="1"/>
        <v>BTP  01-Jun-25  1.5</v>
      </c>
      <c r="AV62" s="703">
        <f t="shared" si="8"/>
        <v>0</v>
      </c>
      <c r="AW62" s="687"/>
      <c r="AX62" s="687"/>
      <c r="AY62" s="687"/>
      <c r="AZ62" s="687"/>
      <c r="BA62" s="687"/>
      <c r="BB62" s="689">
        <f>_xll.xlInterpKruger(_xll.ohFilter($G$11:$G$89,$BC$11:$BC$89),_xll.ohFilter($AD$11:$AD$89,$BC$11:$BC$89),$G62)</f>
        <v>1.4613389427733431E-2</v>
      </c>
      <c r="BC62" s="695" t="b">
        <v>1</v>
      </c>
      <c r="BE62" s="706">
        <f>_xll.xlDateShiftMonth(BE61,1)</f>
        <v>44740</v>
      </c>
      <c r="BF62" s="707">
        <v>6.0194512968871072E-3</v>
      </c>
      <c r="BU62" s="133" t="s">
        <v>599</v>
      </c>
      <c r="BV62" s="133" t="s">
        <v>599</v>
      </c>
      <c r="BW62" s="133" t="s">
        <v>599</v>
      </c>
      <c r="BX62" s="133" t="s">
        <v>599</v>
      </c>
      <c r="BY62" s="133" t="s">
        <v>599</v>
      </c>
      <c r="BZ62" s="133" t="s">
        <v>599</v>
      </c>
      <c r="CA62" s="133" t="s">
        <v>599</v>
      </c>
      <c r="CB62" s="133" t="s">
        <v>599</v>
      </c>
      <c r="CC62" s="133" t="s">
        <v>599</v>
      </c>
      <c r="CD62" s="133" t="s">
        <v>599</v>
      </c>
      <c r="CE62" s="133" t="s">
        <v>599</v>
      </c>
      <c r="CF62" s="133" t="s">
        <v>599</v>
      </c>
    </row>
    <row r="63" spans="1:84">
      <c r="A63" s="26"/>
      <c r="B63" s="20"/>
      <c r="C63" s="21"/>
      <c r="D63" s="720">
        <f>MAX(_xll.xlDateSettle("TARGET",$D$4,2),L63)</f>
        <v>43179</v>
      </c>
      <c r="E63" s="718" t="s">
        <v>749</v>
      </c>
      <c r="F63" s="13" t="s">
        <v>1177</v>
      </c>
      <c r="G63" s="681">
        <v>45992</v>
      </c>
      <c r="H63" s="37">
        <v>2</v>
      </c>
      <c r="I63" s="11">
        <v>45992</v>
      </c>
      <c r="J63" s="11">
        <v>42248</v>
      </c>
      <c r="K63" s="11">
        <v>42339</v>
      </c>
      <c r="L63" s="11">
        <v>42248</v>
      </c>
      <c r="M63" s="12">
        <v>100.51</v>
      </c>
      <c r="N63" s="12" t="s">
        <v>1279</v>
      </c>
      <c r="O63" s="12" t="s">
        <v>1197</v>
      </c>
      <c r="P63" s="12" t="s">
        <v>1280</v>
      </c>
      <c r="Q63" s="15">
        <v>17829296000</v>
      </c>
      <c r="R63" s="12"/>
      <c r="S63" s="43">
        <f>_xll.RtGet("IDN",$X63,$S$9)</f>
        <v>103.05</v>
      </c>
      <c r="T63" s="43">
        <f>_xll.RtGet("IDN",$X63,$T$9)</f>
        <v>103.12</v>
      </c>
      <c r="U63" s="25">
        <f t="shared" si="9"/>
        <v>103.08500000000001</v>
      </c>
      <c r="V63" s="12"/>
      <c r="W63" s="25">
        <f t="shared" si="2"/>
        <v>103.08500000000001</v>
      </c>
      <c r="X63" s="14" t="str">
        <f t="shared" si="3"/>
        <v>IT512708=TT</v>
      </c>
      <c r="Y63" s="14"/>
      <c r="Z63" s="14"/>
      <c r="AA63" s="14"/>
      <c r="AB63" s="14"/>
      <c r="AC63" s="14"/>
      <c r="AD63" s="34">
        <f>IF(ISNUMBER($D63),_xll.xlBondYield($F63,$H63,$G63,$J63,$K63,$L63,$M63,$D63,$W63,IF(NOT($H63),TRUE,FALSE)),"")</f>
        <v>1.579060805869166E-2</v>
      </c>
      <c r="AE63" s="12"/>
      <c r="AF63" s="12"/>
      <c r="AG63" s="12"/>
      <c r="AH63" s="14"/>
      <c r="AI63" s="14"/>
      <c r="AJ63" s="14"/>
      <c r="AK63" s="246">
        <f>IF(ISNUMBER($D63),_xll.xlBondAswSpread($F63&amp;T(TYPE($AV$1)),$H63,$G63,$J63,$K63,$L63,$M63,$D63,$W63,IF(NOT($H63),TRUE,FALSE),curveName,curveName,,,2),"")</f>
        <v>0.80145595104306377</v>
      </c>
      <c r="AL63" s="213">
        <f>IF($W63&gt;0,_xll.xlBondZSpread(F63&amp;T(TYPE($AV$1)),H63,G63,J63,K63,L63,M63,D63,U63,"annual",5,IF(NOT($H63),TRUE,FALSE),curveName)*100,"")</f>
        <v>81.554409900362629</v>
      </c>
      <c r="AM63" s="266">
        <f>(-IF($AL$9="",VLOOKUP(VLOOKUP(E63,'DB Basis'!$D$2:$H$65205,4,0),Bonds!$AR$1:$AS$6,2,0),$AL$9)*VLOOKUP(E63,'DB Basis'!$D$2:$E$65205,2,0))+IF(V63="",W63,V63)</f>
        <v>17.099450000000004</v>
      </c>
      <c r="AN63" s="274" t="str">
        <f>IF($AN$9+(($AL$9-$AM$9))*('DB Basis'!F222/10-'DB Basis'!E222),," ")</f>
        <v xml:space="preserve"> </v>
      </c>
      <c r="AO63" s="639">
        <f>IF(U63&gt;0,_xll.xlShmImplSwap2(curveName&amp;T(TYPE($AV$1)),curveName,D63,G63,,1,8,2,4),"")</f>
        <v>7.8121699897646876E-3</v>
      </c>
      <c r="AP63" s="640">
        <f t="shared" si="4"/>
        <v>7.9784380689269727E-3</v>
      </c>
      <c r="AQ63" s="386">
        <f t="shared" si="5"/>
        <v>23.480043732226974</v>
      </c>
      <c r="AR63" s="386">
        <f t="shared" si="6"/>
        <v>11.605930493202798</v>
      </c>
      <c r="AS63" s="388"/>
      <c r="AT63" s="242">
        <f t="shared" si="7"/>
        <v>1.5574298359257526</v>
      </c>
      <c r="AU63" s="699" t="str">
        <f t="shared" si="1"/>
        <v>BTP  01-Dec-25  2</v>
      </c>
      <c r="AV63" s="703">
        <f t="shared" si="8"/>
        <v>1.6040050900972824E-4</v>
      </c>
      <c r="AW63" s="687"/>
      <c r="AX63" s="687"/>
      <c r="AY63" s="687"/>
      <c r="AZ63" s="687"/>
      <c r="BA63" s="687"/>
      <c r="BB63" s="689">
        <f>_xll.xlInterpKruger(_xll.ohFilter($G$11:$G$89,$BC$11:$BC$89),_xll.ohFilter($AD$11:$AD$89,$BC$11:$BC$89),$G63)</f>
        <v>1.5630207549681932E-2</v>
      </c>
      <c r="BC63" s="695" t="b">
        <v>0</v>
      </c>
      <c r="BE63" s="706">
        <f>_xll.xlDateShiftMonth(BE62,1)</f>
        <v>44770</v>
      </c>
      <c r="BF63" s="707">
        <v>6.3334573336303107E-3</v>
      </c>
      <c r="BU63" s="133" t="s">
        <v>599</v>
      </c>
      <c r="BV63" s="133" t="s">
        <v>599</v>
      </c>
      <c r="BW63" s="133" t="s">
        <v>599</v>
      </c>
      <c r="BX63" s="133" t="s">
        <v>599</v>
      </c>
      <c r="BY63" s="133" t="s">
        <v>599</v>
      </c>
      <c r="BZ63" s="133" t="s">
        <v>599</v>
      </c>
      <c r="CA63" s="133" t="s">
        <v>599</v>
      </c>
      <c r="CB63" s="133" t="s">
        <v>599</v>
      </c>
      <c r="CC63" s="133" t="s">
        <v>599</v>
      </c>
      <c r="CD63" s="133" t="s">
        <v>599</v>
      </c>
      <c r="CE63" s="133" t="s">
        <v>599</v>
      </c>
      <c r="CF63" s="133" t="s">
        <v>599</v>
      </c>
    </row>
    <row r="64" spans="1:84">
      <c r="A64" s="54"/>
      <c r="B64" s="55"/>
      <c r="C64" s="56"/>
      <c r="D64" s="720">
        <f>MAX(_xll.xlDateSettle("TARGET",$D$4,2),L64)</f>
        <v>43179</v>
      </c>
      <c r="E64" s="718" t="s">
        <v>714</v>
      </c>
      <c r="F64" s="13" t="s">
        <v>1177</v>
      </c>
      <c r="G64" s="681">
        <v>46082</v>
      </c>
      <c r="H64" s="37">
        <v>4.5</v>
      </c>
      <c r="I64" s="11">
        <v>46082</v>
      </c>
      <c r="J64" s="11">
        <v>40422</v>
      </c>
      <c r="K64" s="11">
        <v>40603</v>
      </c>
      <c r="L64" s="11">
        <v>40450</v>
      </c>
      <c r="M64" s="12">
        <v>100.07</v>
      </c>
      <c r="N64" s="12" t="s">
        <v>1281</v>
      </c>
      <c r="O64" s="12" t="s">
        <v>1178</v>
      </c>
      <c r="P64" s="12" t="s">
        <v>1282</v>
      </c>
      <c r="Q64" s="15">
        <v>20733398000</v>
      </c>
      <c r="R64" s="12"/>
      <c r="S64" s="43">
        <f>_xll.RtGet("IDN",$X64,$S$9)</f>
        <v>121.68</v>
      </c>
      <c r="T64" s="43">
        <f>_xll.RtGet("IDN",$X64,$T$9)</f>
        <v>121.74000000000001</v>
      </c>
      <c r="U64" s="25">
        <f t="shared" si="9"/>
        <v>121.71000000000001</v>
      </c>
      <c r="V64" s="12"/>
      <c r="W64" s="25">
        <f t="shared" si="2"/>
        <v>121.71000000000001</v>
      </c>
      <c r="X64" s="14" t="str">
        <f t="shared" si="3"/>
        <v>IT464473=TT</v>
      </c>
      <c r="Y64" s="14"/>
      <c r="Z64" s="14"/>
      <c r="AA64" s="14"/>
      <c r="AB64" s="14"/>
      <c r="AC64" s="14"/>
      <c r="AD64" s="34">
        <f>IF(ISNUMBER($D64),_xll.xlBondYield($F64,$H64,$G64,$J64,$K64,$L64,$M64,$D64,$W64,IF(NOT($H64),TRUE,FALSE)),"")</f>
        <v>1.5880837389258176E-2</v>
      </c>
      <c r="AE64" s="12"/>
      <c r="AF64" s="12"/>
      <c r="AG64" s="12"/>
      <c r="AH64" s="14"/>
      <c r="AI64" s="14"/>
      <c r="AJ64" s="14"/>
      <c r="AK64" s="246">
        <f>IF(ISNUMBER($D64),_xll.xlBondAswSpread($F64&amp;T(TYPE($AV$1)),$H64,$G64,$J64,$K64,$L64,$M64,$D64,$W64,IF(NOT($H64),TRUE,FALSE),curveName,curveName,,,2),"")</f>
        <v>0.89414426945102166</v>
      </c>
      <c r="AL64" s="213">
        <f>IF($W64&gt;0,_xll.xlBondZSpread(F64&amp;T(TYPE($AV$1)),H64,G64,J64,K64,L64,M64,D64,U64,"annual",5,IF(NOT($H64),TRUE,FALSE),curveName)*100,"")</f>
        <v>82.745101252045743</v>
      </c>
      <c r="AM64" s="266">
        <f>(-IF($AL$9="",VLOOKUP(VLOOKUP(E64,'DB Basis'!$D$2:$H$65205,4,0),Bonds!$AR$1:$AS$6,2,0),$AL$9)*VLOOKUP(E64,'DB Basis'!$D$2:$E$65205,2,0))+IF(V64="",W64,V64)</f>
        <v>24.259709999999998</v>
      </c>
      <c r="AN64" s="274" t="str">
        <f>IF($AN$9+(($AL$9-$AM$9))*('DB Basis'!F223/10-'DB Basis'!E223),," ")</f>
        <v xml:space="preserve"> </v>
      </c>
      <c r="AO64" s="639">
        <f>IF(U64&gt;0,_xll.xlShmImplSwap2(curveName&amp;T(TYPE($AV$1)),curveName,D64,G64,,1,8,2,4),"")</f>
        <v>8.1035115616977411E-3</v>
      </c>
      <c r="AP64" s="640">
        <f t="shared" si="4"/>
        <v>7.777325827560435E-3</v>
      </c>
      <c r="AQ64" s="386">
        <f t="shared" si="5"/>
        <v>3.6593006285309198</v>
      </c>
      <c r="AR64" s="386">
        <f t="shared" si="6"/>
        <v>-8.1562186776429169</v>
      </c>
      <c r="AS64" s="388"/>
      <c r="AT64" s="242">
        <f t="shared" si="7"/>
        <v>1.5663291671597106</v>
      </c>
      <c r="AU64" s="699" t="str">
        <f t="shared" si="1"/>
        <v>BTP  01-Mar-26  4.5</v>
      </c>
      <c r="AV64" s="703">
        <f t="shared" si="8"/>
        <v>-2.0418916649048852E-4</v>
      </c>
      <c r="AW64" s="687"/>
      <c r="AX64" s="687"/>
      <c r="AY64" s="687"/>
      <c r="AZ64" s="687"/>
      <c r="BA64" s="687"/>
      <c r="BB64" s="689">
        <f>_xll.xlInterpKruger(_xll.ohFilter($G$11:$G$89,$BC$11:$BC$89),_xll.ohFilter($AD$11:$AD$89,$BC$11:$BC$89),$G64)</f>
        <v>1.6085026555748665E-2</v>
      </c>
      <c r="BC64" s="695" t="b">
        <v>0</v>
      </c>
      <c r="BE64" s="706">
        <f>_xll.xlDateShiftMonth(BE63,1)</f>
        <v>44801</v>
      </c>
      <c r="BF64" s="707">
        <v>6.6242191468674338E-3</v>
      </c>
      <c r="BU64" s="133" t="s">
        <v>599</v>
      </c>
      <c r="BV64" s="133" t="s">
        <v>599</v>
      </c>
      <c r="BW64" s="133" t="s">
        <v>599</v>
      </c>
      <c r="BX64" s="133" t="s">
        <v>599</v>
      </c>
      <c r="BY64" s="133" t="s">
        <v>599</v>
      </c>
      <c r="BZ64" s="133" t="s">
        <v>599</v>
      </c>
      <c r="CA64" s="133" t="s">
        <v>599</v>
      </c>
      <c r="CB64" s="133" t="s">
        <v>599</v>
      </c>
      <c r="CC64" s="133" t="s">
        <v>599</v>
      </c>
      <c r="CD64" s="133" t="s">
        <v>599</v>
      </c>
      <c r="CE64" s="133" t="s">
        <v>599</v>
      </c>
      <c r="CF64" s="133" t="s">
        <v>599</v>
      </c>
    </row>
    <row r="65" spans="1:84">
      <c r="A65" s="10"/>
      <c r="B65" s="11"/>
      <c r="C65" s="12"/>
      <c r="D65" s="720">
        <f>MAX(_xll.xlDateSettle("TARGET",$D$4,2),L65)</f>
        <v>43179</v>
      </c>
      <c r="E65" s="718" t="s">
        <v>800</v>
      </c>
      <c r="F65" s="13" t="s">
        <v>1177</v>
      </c>
      <c r="G65" s="681">
        <v>46174</v>
      </c>
      <c r="H65" s="37">
        <v>1.6</v>
      </c>
      <c r="I65" s="11">
        <v>46174</v>
      </c>
      <c r="J65" s="11">
        <v>42430</v>
      </c>
      <c r="K65" s="11">
        <v>42522</v>
      </c>
      <c r="L65" s="11">
        <v>42430</v>
      </c>
      <c r="M65" s="12">
        <v>100.97</v>
      </c>
      <c r="N65" s="12" t="s">
        <v>1283</v>
      </c>
      <c r="O65" s="12" t="s">
        <v>1178</v>
      </c>
      <c r="P65" s="12" t="s">
        <v>1284</v>
      </c>
      <c r="Q65" s="15">
        <v>17774500000</v>
      </c>
      <c r="R65" s="12"/>
      <c r="S65" s="43">
        <f>_xll.RtGet("IDN",$X65,$S$9)</f>
        <v>99.42</v>
      </c>
      <c r="T65" s="43">
        <f>_xll.RtGet("IDN",$X65,$T$9)</f>
        <v>99.48</v>
      </c>
      <c r="U65" s="25">
        <f t="shared" si="9"/>
        <v>99.45</v>
      </c>
      <c r="V65" s="12"/>
      <c r="W65" s="25">
        <f t="shared" si="2"/>
        <v>99.45</v>
      </c>
      <c r="X65" s="14" t="str">
        <f t="shared" si="3"/>
        <v>IT517083=TT</v>
      </c>
      <c r="Y65" s="14"/>
      <c r="Z65" s="14"/>
      <c r="AA65" s="14"/>
      <c r="AB65" s="14"/>
      <c r="AC65" s="14"/>
      <c r="AD65" s="34">
        <f>IF(ISNUMBER($D65),_xll.xlBondYield($F65,$H65,$G65,$J65,$K65,$L65,$M65,$D65,$W65,IF(NOT($H65),TRUE,FALSE)),"")</f>
        <v>1.6788938503937759E-2</v>
      </c>
      <c r="AE65" s="12"/>
      <c r="AF65" s="12"/>
      <c r="AG65" s="12"/>
      <c r="AH65" s="14"/>
      <c r="AI65" s="14"/>
      <c r="AJ65" s="14"/>
      <c r="AK65" s="246">
        <f>IF(ISNUMBER($D65),_xll.xlBondAswSpread($F65&amp;T(TYPE($AV$1)),$H65,$G65,$J65,$K65,$L65,$M65,$D65,$W65,IF(NOT($H65),TRUE,FALSE),curveName,curveName,,,2),"")</f>
        <v>0.82126309021412636</v>
      </c>
      <c r="AL65" s="213">
        <f>IF($W65&gt;0,_xll.xlBondZSpread(F65&amp;T(TYPE($AV$1)),H65,G65,J65,K65,L65,M65,D65,U65,"annual",5,IF(NOT($H65),TRUE,FALSE),curveName)*100,"")</f>
        <v>85.391076949916439</v>
      </c>
      <c r="AM65" s="266">
        <f>(-IF($AL$9="",VLOOKUP(VLOOKUP(E65,'DB Basis'!$D$2:$H$65205,4,0),Bonds!$AR$1:$AS$6,2,0),$AL$9)*VLOOKUP(E65,'DB Basis'!$D$2:$E$65205,2,0))+IF(V65="",W65,V65)</f>
        <v>10.598264999999998</v>
      </c>
      <c r="AN65" s="274" t="str">
        <f>IF($AN$9+(($AL$9-$AM$9))*('DB Basis'!F224/10-'DB Basis'!E224),," ")</f>
        <v xml:space="preserve"> </v>
      </c>
      <c r="AO65" s="639">
        <f>IF(U65&gt;0,_xll.xlShmImplSwap2(curveName&amp;T(TYPE($AV$1)),curveName,D65,G65,,1,8,2,4),"")</f>
        <v>8.37633187835953E-3</v>
      </c>
      <c r="AP65" s="640">
        <f t="shared" si="4"/>
        <v>8.4126066255782294E-3</v>
      </c>
      <c r="AQ65" s="386">
        <f t="shared" si="5"/>
        <v>36.027924658483464</v>
      </c>
      <c r="AR65" s="386">
        <f t="shared" si="6"/>
        <v>25.204075138749452</v>
      </c>
      <c r="AS65" s="388"/>
      <c r="AT65" s="242">
        <f t="shared" si="7"/>
        <v>1.655895304497971</v>
      </c>
      <c r="AU65" s="699" t="str">
        <f t="shared" si="1"/>
        <v>BTP  01-Jun-26  1.6</v>
      </c>
      <c r="AV65" s="703">
        <f t="shared" si="8"/>
        <v>2.6644846143825118E-4</v>
      </c>
      <c r="AW65" s="687"/>
      <c r="AX65" s="687"/>
      <c r="AY65" s="687"/>
      <c r="AZ65" s="687"/>
      <c r="BA65" s="687"/>
      <c r="BB65" s="689">
        <f>_xll.xlInterpKruger(_xll.ohFilter($G$11:$G$89,$BC$11:$BC$89),_xll.ohFilter($AD$11:$AD$89,$BC$11:$BC$89),$G65)</f>
        <v>1.6522490042499508E-2</v>
      </c>
      <c r="BC65" s="695" t="b">
        <v>0</v>
      </c>
      <c r="BE65" s="706">
        <f>_xll.xlDateShiftMonth(BE64,1)</f>
        <v>44832</v>
      </c>
      <c r="BF65" s="707">
        <v>6.8994997814264139E-3</v>
      </c>
      <c r="BU65" s="133" t="s">
        <v>599</v>
      </c>
      <c r="BV65" s="133" t="s">
        <v>599</v>
      </c>
      <c r="BW65" s="133" t="s">
        <v>599</v>
      </c>
      <c r="BX65" s="133" t="s">
        <v>599</v>
      </c>
      <c r="BY65" s="133" t="s">
        <v>599</v>
      </c>
      <c r="BZ65" s="133" t="s">
        <v>599</v>
      </c>
      <c r="CA65" s="133" t="s">
        <v>599</v>
      </c>
      <c r="CB65" s="133" t="s">
        <v>599</v>
      </c>
      <c r="CC65" s="133" t="s">
        <v>599</v>
      </c>
      <c r="CD65" s="133" t="s">
        <v>599</v>
      </c>
      <c r="CE65" s="133" t="s">
        <v>599</v>
      </c>
      <c r="CF65" s="133" t="s">
        <v>599</v>
      </c>
    </row>
    <row r="66" spans="1:84">
      <c r="A66" s="17"/>
      <c r="B66" s="16"/>
      <c r="C66" s="18"/>
      <c r="D66" s="720">
        <f>MAX(_xll.xlDateSettle("TARGET",$D$4,2),L66)</f>
        <v>43179</v>
      </c>
      <c r="E66" s="718" t="s">
        <v>715</v>
      </c>
      <c r="F66" s="13" t="s">
        <v>1177</v>
      </c>
      <c r="G66" s="681">
        <v>46327</v>
      </c>
      <c r="H66" s="37">
        <v>7.25</v>
      </c>
      <c r="I66" s="11">
        <v>46327</v>
      </c>
      <c r="J66" s="11">
        <v>35370</v>
      </c>
      <c r="K66" s="11">
        <v>35551</v>
      </c>
      <c r="L66" s="11">
        <v>35464</v>
      </c>
      <c r="M66" s="12">
        <v>99.45</v>
      </c>
      <c r="N66" s="12" t="s">
        <v>1285</v>
      </c>
      <c r="O66" s="12" t="s">
        <v>1178</v>
      </c>
      <c r="P66" s="12" t="s">
        <v>1286</v>
      </c>
      <c r="Q66" s="15">
        <v>12423130223</v>
      </c>
      <c r="R66" s="12"/>
      <c r="S66" s="43">
        <f>_xll.RtGet("IDN",$X66,$S$9)</f>
        <v>144.33000000000001</v>
      </c>
      <c r="T66" s="43">
        <f>_xll.RtGet("IDN",$X66,$T$9)</f>
        <v>144.38</v>
      </c>
      <c r="U66" s="25">
        <f t="shared" si="9"/>
        <v>144.35500000000002</v>
      </c>
      <c r="V66" s="12"/>
      <c r="W66" s="25">
        <f t="shared" si="2"/>
        <v>144.35500000000002</v>
      </c>
      <c r="X66" s="14" t="str">
        <f t="shared" si="3"/>
        <v>IT108656=TT</v>
      </c>
      <c r="Y66" s="14"/>
      <c r="Z66" s="14"/>
      <c r="AA66" s="14"/>
      <c r="AB66" s="14"/>
      <c r="AC66" s="14"/>
      <c r="AD66" s="34">
        <f>IF(ISNUMBER($D66),_xll.xlBondYield($F66,$H66,$G66,$J66,$K66,$L66,$M66,$D66,$W66,IF(NOT($H66),TRUE,FALSE)),"")</f>
        <v>1.7013169526770511E-2</v>
      </c>
      <c r="AE66" s="12"/>
      <c r="AF66" s="12"/>
      <c r="AG66" s="12"/>
      <c r="AH66" s="14"/>
      <c r="AI66" s="14"/>
      <c r="AJ66" s="14"/>
      <c r="AK66" s="246">
        <f>IF(ISNUMBER($D66),_xll.xlBondAswSpread($F66&amp;T(TYPE($AV$1)),$H66,$G66,$J66,$K66,$L66,$M66,$D66,$W66,IF(NOT($H66),TRUE,FALSE),curveName,curveName,,,2),"")</f>
        <v>1.0839060566989553</v>
      </c>
      <c r="AL66" s="213">
        <f>IF($W66&gt;0,_xll.xlBondZSpread(F66&amp;T(TYPE($AV$1)),H66,G66,J66,K66,L66,M66,D66,U66,"annual",5,IF(NOT($H66),TRUE,FALSE),curveName)*100,"")</f>
        <v>90.463402161394853</v>
      </c>
      <c r="AM66" s="266">
        <f>(-IF($AL$9="",VLOOKUP(VLOOKUP(E66,'DB Basis'!$D$2:$H$65205,4,0),Bonds!$AR$1:$AS$6,2,0),$AL$9)*VLOOKUP(E66,'DB Basis'!$D$2:$E$65205,2,0))+IF(V66="",W66,V66)</f>
        <v>27.933295000000015</v>
      </c>
      <c r="AN66" s="274" t="str">
        <f>IF($AN$9+(($AL$9-$AM$9))*('DB Basis'!F225/10-'DB Basis'!E225),," ")</f>
        <v xml:space="preserve"> </v>
      </c>
      <c r="AO66" s="639">
        <f>IF(U66&gt;0,_xll.xlShmImplSwap2(curveName&amp;T(TYPE($AV$1)),curveName,D66,G66,,1,8,2,4),"")</f>
        <v>8.8277567531335963E-3</v>
      </c>
      <c r="AP66" s="640">
        <f t="shared" si="4"/>
        <v>8.1854127736369145E-3</v>
      </c>
      <c r="AQ66" s="386">
        <f t="shared" si="5"/>
        <v>5.3493021786898218</v>
      </c>
      <c r="AR66" s="386">
        <f t="shared" si="6"/>
        <v>-5.4199840495803882</v>
      </c>
      <c r="AS66" s="388"/>
      <c r="AT66" s="242">
        <f t="shared" si="7"/>
        <v>1.6780112409965438</v>
      </c>
      <c r="AU66" s="699" t="str">
        <f t="shared" si="1"/>
        <v>BTP  01-Nov-26  7.25</v>
      </c>
      <c r="AV66" s="703">
        <f t="shared" si="8"/>
        <v>-1.8230157448361622E-4</v>
      </c>
      <c r="AW66" s="687"/>
      <c r="AX66" s="687"/>
      <c r="AY66" s="687"/>
      <c r="AZ66" s="687"/>
      <c r="BA66" s="687"/>
      <c r="BB66" s="689">
        <f>_xll.xlInterpKruger(_xll.ohFilter($G$11:$G$89,$BC$11:$BC$89),_xll.ohFilter($AD$11:$AD$89,$BC$11:$BC$89),$G66)</f>
        <v>1.7195471101254127E-2</v>
      </c>
      <c r="BC66" s="695" t="b">
        <v>0</v>
      </c>
      <c r="BE66" s="706">
        <f>_xll.xlDateShiftMonth(BE65,1)</f>
        <v>44862</v>
      </c>
      <c r="BF66" s="707">
        <v>7.1540065968295156E-3</v>
      </c>
      <c r="BU66" s="133" t="s">
        <v>599</v>
      </c>
      <c r="BV66" s="133" t="s">
        <v>599</v>
      </c>
      <c r="BW66" s="133" t="s">
        <v>599</v>
      </c>
      <c r="BX66" s="133" t="s">
        <v>599</v>
      </c>
      <c r="BY66" s="133" t="s">
        <v>599</v>
      </c>
      <c r="BZ66" s="133" t="s">
        <v>599</v>
      </c>
      <c r="CA66" s="133" t="s">
        <v>599</v>
      </c>
      <c r="CB66" s="133" t="s">
        <v>599</v>
      </c>
      <c r="CC66" s="133" t="s">
        <v>599</v>
      </c>
      <c r="CD66" s="133" t="s">
        <v>599</v>
      </c>
      <c r="CE66" s="133" t="s">
        <v>599</v>
      </c>
      <c r="CF66" s="133" t="s">
        <v>599</v>
      </c>
    </row>
    <row r="67" spans="1:84">
      <c r="A67" s="10"/>
      <c r="B67" s="11"/>
      <c r="C67" s="12"/>
      <c r="D67" s="720">
        <f>MAX(_xll.xlDateSettle("TARGET",$D$4,2),L67)</f>
        <v>43179</v>
      </c>
      <c r="E67" s="718" t="s">
        <v>872</v>
      </c>
      <c r="F67" s="13" t="s">
        <v>1177</v>
      </c>
      <c r="G67" s="681">
        <v>46357</v>
      </c>
      <c r="H67" s="37">
        <v>1.25</v>
      </c>
      <c r="I67" s="11">
        <v>46357</v>
      </c>
      <c r="J67" s="11">
        <v>42583</v>
      </c>
      <c r="K67" s="11">
        <v>42705</v>
      </c>
      <c r="L67" s="11">
        <v>42583</v>
      </c>
      <c r="M67" s="12">
        <v>100.18</v>
      </c>
      <c r="N67" s="12" t="s">
        <v>1287</v>
      </c>
      <c r="O67" s="12" t="s">
        <v>1197</v>
      </c>
      <c r="P67" s="12" t="s">
        <v>1288</v>
      </c>
      <c r="Q67" s="15">
        <v>18039664000</v>
      </c>
      <c r="R67" s="12"/>
      <c r="S67" s="43">
        <f>_xll.RtGet("IDN",$X67,$S$9)</f>
        <v>96.15</v>
      </c>
      <c r="T67" s="43">
        <f>_xll.RtGet("IDN",$X67,$T$9)</f>
        <v>96.210000000000008</v>
      </c>
      <c r="U67" s="25">
        <f t="shared" si="9"/>
        <v>96.18</v>
      </c>
      <c r="V67" s="12"/>
      <c r="W67" s="25">
        <f t="shared" si="2"/>
        <v>96.18</v>
      </c>
      <c r="X67" s="14" t="str">
        <f t="shared" si="3"/>
        <v>IT521065=TT</v>
      </c>
      <c r="Y67" s="14"/>
      <c r="Z67" s="14"/>
      <c r="AA67" s="14"/>
      <c r="AB67" s="14"/>
      <c r="AC67" s="14"/>
      <c r="AD67" s="34">
        <f>IF(ISNUMBER($D67),_xll.xlBondYield($F67,$H67,$G67,$J67,$K67,$L67,$M67,$D67,$W67,IF(NOT($H67),TRUE,FALSE)),"")</f>
        <v>1.7320274872503715E-2</v>
      </c>
      <c r="AE67" s="12"/>
      <c r="AF67" s="12"/>
      <c r="AG67" s="12"/>
      <c r="AH67" s="14"/>
      <c r="AI67" s="14"/>
      <c r="AJ67" s="14"/>
      <c r="AK67" s="246">
        <f>IF(ISNUMBER($D67),_xll.xlBondAswSpread($F67&amp;T(TYPE($AV$1)),$H67,$G67,$J67,$K67,$L67,$M67,$D67,$W67,IF(NOT($H67),TRUE,FALSE),curveName,curveName,,,2),"")</f>
        <v>0.79987299095143949</v>
      </c>
      <c r="AL67" s="213">
        <f>IF($W67&gt;0,_xll.xlBondZSpread(F67&amp;T(TYPE($AV$1)),H67,G67,J67,K67,L67,M67,D67,U67,"annual",5,IF(NOT($H67),TRUE,FALSE),curveName)*100,"")</f>
        <v>84.827911951808474</v>
      </c>
      <c r="AM67" s="266">
        <f>(-IF($AL$9="",VLOOKUP(VLOOKUP(E67,'DB Basis'!$D$2:$H$65205,4,0),Bonds!$AR$1:$AS$6,2,0),$AL$9)*VLOOKUP(E67,'DB Basis'!$D$2:$E$65205,2,0))+IF(V67="",W67,V67)</f>
        <v>4.4620799999999861</v>
      </c>
      <c r="AN67" s="274" t="str">
        <f>IF($AN$9+(($AL$9-$AM$9))*('DB Basis'!F226/10-'DB Basis'!E226),," ")</f>
        <v xml:space="preserve"> </v>
      </c>
      <c r="AO67" s="639">
        <f>IF(U67&gt;0,_xll.xlShmImplSwap2(curveName&amp;T(TYPE($AV$1)),curveName,D67,G67,,1,8,2,4),"")</f>
        <v>8.9066154614467086E-3</v>
      </c>
      <c r="AP67" s="640">
        <f t="shared" si="4"/>
        <v>8.4136594110570066E-3</v>
      </c>
      <c r="AQ67" s="386">
        <f t="shared" si="5"/>
        <v>37.364483730873204</v>
      </c>
      <c r="AR67" s="386">
        <f t="shared" si="6"/>
        <v>27.770007552777866</v>
      </c>
      <c r="AS67" s="388"/>
      <c r="AT67" s="242">
        <f t="shared" si="7"/>
        <v>1.7083010833154351</v>
      </c>
      <c r="AU67" s="700" t="str">
        <f t="shared" si="1"/>
        <v>BTP  01-Dec-26  1.25</v>
      </c>
      <c r="AV67" s="703">
        <f t="shared" si="8"/>
        <v>0</v>
      </c>
      <c r="AW67" s="687"/>
      <c r="AX67" s="687"/>
      <c r="AY67" s="687"/>
      <c r="AZ67" s="687"/>
      <c r="BA67" s="687"/>
      <c r="BB67" s="689">
        <f>_xll.xlInterpKruger(_xll.ohFilter($G$11:$G$89,$BC$11:$BC$89),_xll.ohFilter($AD$11:$AD$89,$BC$11:$BC$89),$G67)</f>
        <v>1.7320274872503715E-2</v>
      </c>
      <c r="BC67" s="695" t="b">
        <v>1</v>
      </c>
      <c r="BE67" s="706">
        <f>_xll.xlDateShiftMonth(BE66,1)</f>
        <v>44893</v>
      </c>
      <c r="BF67" s="707">
        <v>7.4073880686471453E-3</v>
      </c>
      <c r="BU67" s="133" t="s">
        <v>599</v>
      </c>
      <c r="BV67" s="133" t="s">
        <v>599</v>
      </c>
      <c r="BW67" s="133" t="s">
        <v>599</v>
      </c>
      <c r="BX67" s="133" t="s">
        <v>599</v>
      </c>
      <c r="BY67" s="133" t="s">
        <v>599</v>
      </c>
      <c r="BZ67" s="133" t="s">
        <v>599</v>
      </c>
      <c r="CA67" s="133" t="s">
        <v>599</v>
      </c>
      <c r="CB67" s="133" t="s">
        <v>599</v>
      </c>
      <c r="CC67" s="133" t="s">
        <v>599</v>
      </c>
      <c r="CD67" s="133" t="s">
        <v>599</v>
      </c>
      <c r="CE67" s="133" t="s">
        <v>599</v>
      </c>
      <c r="CF67" s="133" t="s">
        <v>599</v>
      </c>
    </row>
    <row r="68" spans="1:84">
      <c r="A68" s="17"/>
      <c r="B68" s="16"/>
      <c r="C68" s="18"/>
      <c r="D68" s="720">
        <f>MAX(_xll.xlDateSettle("TARGET",$D$4,2),L68)</f>
        <v>43179</v>
      </c>
      <c r="E68" s="718" t="s">
        <v>900</v>
      </c>
      <c r="F68" s="13" t="s">
        <v>1177</v>
      </c>
      <c r="G68" s="681">
        <v>46539</v>
      </c>
      <c r="H68" s="37">
        <v>2.2000000000000002</v>
      </c>
      <c r="I68" s="11">
        <v>46539</v>
      </c>
      <c r="J68" s="11">
        <v>42767</v>
      </c>
      <c r="K68" s="11">
        <v>42887</v>
      </c>
      <c r="L68" s="11">
        <v>42767</v>
      </c>
      <c r="M68" s="12">
        <v>98.58</v>
      </c>
      <c r="N68" s="12" t="s">
        <v>1289</v>
      </c>
      <c r="O68" s="12" t="s">
        <v>1178</v>
      </c>
      <c r="P68" s="12" t="s">
        <v>1290</v>
      </c>
      <c r="Q68" s="15">
        <v>17325000000</v>
      </c>
      <c r="R68" s="12"/>
      <c r="S68" s="43">
        <f>_xll.RtGet("IDN",$X68,$S$9)</f>
        <v>103.10000000000001</v>
      </c>
      <c r="T68" s="43">
        <f>_xll.RtGet("IDN",$X68,$T$9)</f>
        <v>103.15</v>
      </c>
      <c r="U68" s="25">
        <f t="shared" si="9"/>
        <v>103.125</v>
      </c>
      <c r="V68" s="12"/>
      <c r="W68" s="25">
        <f t="shared" si="2"/>
        <v>103.125</v>
      </c>
      <c r="X68" s="14" t="str">
        <f t="shared" si="3"/>
        <v>IT524083=TT</v>
      </c>
      <c r="Y68" s="14"/>
      <c r="Z68" s="14"/>
      <c r="AA68" s="14"/>
      <c r="AB68" s="14"/>
      <c r="AC68" s="14"/>
      <c r="AD68" s="34">
        <f>IF(ISNUMBER($D68),_xll.xlBondYield($F68,$H68,$G68,$J68,$K68,$L68,$M68,$D68,$W68,IF(NOT($H68),TRUE,FALSE)),"")</f>
        <v>1.8375838676610322E-2</v>
      </c>
      <c r="AE68" s="12"/>
      <c r="AF68" s="12"/>
      <c r="AG68" s="12"/>
      <c r="AH68" s="14"/>
      <c r="AI68" s="14"/>
      <c r="AJ68" s="14"/>
      <c r="AK68" s="246">
        <f>IF(ISNUMBER($D68),_xll.xlBondAswSpread($F68&amp;T(TYPE($AV$1)),$H68,$G68,$J68,$K68,$L68,$M68,$D68,$W68,IF(NOT($H68),TRUE,FALSE),curveName,curveName,,,2),"")</f>
        <v>0.89980021672251087</v>
      </c>
      <c r="AL68" s="213">
        <f>IF($W68&gt;0,_xll.xlBondZSpread(F68&amp;T(TYPE($AV$1)),H68,G68,J68,K68,L68,M68,D68,U68,"annual",5,IF(NOT($H68),TRUE,FALSE),curveName)*100,"")</f>
        <v>92.003862272297752</v>
      </c>
      <c r="AM68" s="266">
        <f>(-IF($AL$9="",VLOOKUP(VLOOKUP(E68,'DB Basis'!$D$2:$H$65205,4,0),Bonds!$AR$1:$AS$6,2,0),$AL$9)*VLOOKUP(E68,'DB Basis'!$D$2:$E$65205,2,0))+IF(V68="",W68,V68)</f>
        <v>1.5367577699999799</v>
      </c>
      <c r="AN68" s="274" t="str">
        <f>IF($AN$9+(($AL$9-$AM$9))*('DB Basis'!F227/10-'DB Basis'!E227),," ")</f>
        <v xml:space="preserve"> </v>
      </c>
      <c r="AO68" s="639">
        <f>IF(U68&gt;0,_xll.xlShmImplSwap2(curveName&amp;T(TYPE($AV$1)),curveName,D68,G68,,1,8,2,4),"")</f>
        <v>9.4099624300780626E-3</v>
      </c>
      <c r="AP68" s="640">
        <f t="shared" si="4"/>
        <v>8.9658762465322592E-3</v>
      </c>
      <c r="AQ68" s="386">
        <f t="shared" si="5"/>
        <v>21.169274093346779</v>
      </c>
      <c r="AR68" s="386">
        <f t="shared" si="6"/>
        <v>11.074678293871827</v>
      </c>
      <c r="AS68" s="388"/>
      <c r="AT68" s="242">
        <f t="shared" si="7"/>
        <v>1.8124114859122509</v>
      </c>
      <c r="AU68" s="699" t="str">
        <f t="shared" si="1"/>
        <v>BTP  01-Jun-27  2.2</v>
      </c>
      <c r="AV68" s="703">
        <f t="shared" si="8"/>
        <v>3.9509656210582472E-4</v>
      </c>
      <c r="AW68" s="687"/>
      <c r="AX68" s="687"/>
      <c r="AY68" s="687"/>
      <c r="AZ68" s="687"/>
      <c r="BA68" s="687"/>
      <c r="BB68" s="689">
        <f>_xll.xlInterpKruger(_xll.ohFilter($G$11:$G$89,$BC$11:$BC$89),_xll.ohFilter($AD$11:$AD$89,$BC$11:$BC$89),$G68)</f>
        <v>1.7980742114504497E-2</v>
      </c>
      <c r="BC68" s="695" t="b">
        <v>0</v>
      </c>
      <c r="BE68" s="706">
        <f>_xll.xlDateShiftMonth(BE67,1)</f>
        <v>44923</v>
      </c>
      <c r="BF68" s="707">
        <v>7.6458636593931158E-3</v>
      </c>
      <c r="BU68" s="133" t="s">
        <v>599</v>
      </c>
      <c r="BV68" s="133" t="s">
        <v>599</v>
      </c>
      <c r="BW68" s="133" t="s">
        <v>599</v>
      </c>
      <c r="BX68" s="133" t="s">
        <v>599</v>
      </c>
      <c r="BY68" s="133" t="s">
        <v>599</v>
      </c>
      <c r="BZ68" s="133" t="s">
        <v>599</v>
      </c>
      <c r="CA68" s="133" t="s">
        <v>599</v>
      </c>
      <c r="CB68" s="133" t="s">
        <v>599</v>
      </c>
      <c r="CC68" s="133" t="s">
        <v>599</v>
      </c>
      <c r="CD68" s="133" t="s">
        <v>599</v>
      </c>
      <c r="CE68" s="133" t="s">
        <v>599</v>
      </c>
      <c r="CF68" s="133" t="s">
        <v>599</v>
      </c>
    </row>
    <row r="69" spans="1:84">
      <c r="A69" s="10"/>
      <c r="B69" s="11"/>
      <c r="C69" s="12"/>
      <c r="D69" s="720">
        <f>MAX(_xll.xlDateSettle("TARGET",$D$4,2),L69)</f>
        <v>43179</v>
      </c>
      <c r="E69" s="718" t="s">
        <v>982</v>
      </c>
      <c r="F69" s="13" t="s">
        <v>1177</v>
      </c>
      <c r="G69" s="681">
        <v>46600</v>
      </c>
      <c r="H69" s="37">
        <v>2.0499999999999998</v>
      </c>
      <c r="I69" s="11">
        <v>46600</v>
      </c>
      <c r="J69" s="11">
        <v>42920</v>
      </c>
      <c r="K69" s="11">
        <v>42948</v>
      </c>
      <c r="L69" s="11">
        <v>42920</v>
      </c>
      <c r="M69" s="12">
        <v>100</v>
      </c>
      <c r="N69" s="12" t="s">
        <v>1291</v>
      </c>
      <c r="O69" s="12" t="s">
        <v>1178</v>
      </c>
      <c r="P69" s="12" t="s">
        <v>1292</v>
      </c>
      <c r="Q69" s="15">
        <v>19196628000</v>
      </c>
      <c r="R69" s="12"/>
      <c r="S69" s="43">
        <f>_xll.RtGet("IDN",$X69,$S$9)</f>
        <v>101.58</v>
      </c>
      <c r="T69" s="43">
        <f>_xll.RtGet("IDN",$X69,$T$9)</f>
        <v>101.64</v>
      </c>
      <c r="U69" s="25">
        <f t="shared" si="9"/>
        <v>101.61</v>
      </c>
      <c r="V69" s="12"/>
      <c r="W69" s="25">
        <f t="shared" si="2"/>
        <v>101.61</v>
      </c>
      <c r="X69" s="14" t="str">
        <f t="shared" si="3"/>
        <v>IT527480=TT</v>
      </c>
      <c r="Y69" s="14"/>
      <c r="Z69" s="14"/>
      <c r="AA69" s="14"/>
      <c r="AB69" s="14"/>
      <c r="AC69" s="14"/>
      <c r="AD69" s="34">
        <f>IF(ISNUMBER($D69),_xll.xlBondYield($F69,$H69,$G69,$J69,$K69,$L69,$M69,$D69,$W69,IF(NOT($H69),TRUE,FALSE)),"")</f>
        <v>1.8699628912091301E-2</v>
      </c>
      <c r="AE69" s="12"/>
      <c r="AF69" s="12"/>
      <c r="AG69" s="12"/>
      <c r="AH69" s="14"/>
      <c r="AI69" s="14"/>
      <c r="AJ69" s="14"/>
      <c r="AK69" s="246">
        <f>IF(ISNUMBER($D69),_xll.xlBondAswSpread($F69&amp;T(TYPE($AV$1)),$H69,$G69,$J69,$K69,$L69,$M69,$D69,$W69,IF(NOT($H69),TRUE,FALSE),curveName,curveName,,,2),"")</f>
        <v>0.90583175923948411</v>
      </c>
      <c r="AL69" s="213">
        <f>IF($W69&gt;0,_xll.xlBondZSpread(F69&amp;T(TYPE($AV$1)),H69,G69,J69,K69,L69,M69,D69,U69,"annual",5,IF(NOT($H69),TRUE,FALSE),curveName)*100,"")</f>
        <v>93.440578945778441</v>
      </c>
      <c r="AM69" s="266">
        <f>(-IF($AL$9="",VLOOKUP(VLOOKUP(E69,'DB Basis'!$D$2:$H$65205,4,0),Bonds!$AR$1:$AS$6,2,0),$AL$9)*VLOOKUP(E69,'DB Basis'!$D$2:$E$65205,2,0))+IF(V69="",W69,V69)</f>
        <v>1.9628474399999902</v>
      </c>
      <c r="AN69" s="274" t="str">
        <f>IF($AN$9+(($AL$9-$AM$9))*('DB Basis'!F228/10-'DB Basis'!E228),," ")</f>
        <v xml:space="preserve"> </v>
      </c>
      <c r="AO69" s="639">
        <f>IF(U69&gt;0,_xll.xlShmImplSwap2(curveName&amp;T(TYPE($AV$1)),curveName,D69,G69,,1,8,2,4),"")</f>
        <v>9.5726085370201573E-3</v>
      </c>
      <c r="AP69" s="640">
        <f t="shared" si="4"/>
        <v>9.1270203750711439E-3</v>
      </c>
      <c r="AQ69" s="386">
        <f t="shared" si="5"/>
        <v>19.374333762386467</v>
      </c>
      <c r="AR69" s="386">
        <f t="shared" si="6"/>
        <v>9.6422306420808006</v>
      </c>
      <c r="AS69" s="388"/>
      <c r="AT69" s="242">
        <f t="shared" si="7"/>
        <v>1.8443469611925667</v>
      </c>
      <c r="AU69" s="699" t="str">
        <f t="shared" si="1"/>
        <v>BTP  01-Aug-27  2.05</v>
      </c>
      <c r="AV69" s="703">
        <f t="shared" si="8"/>
        <v>5.1486849172836455E-4</v>
      </c>
      <c r="AW69" s="687"/>
      <c r="AX69" s="687"/>
      <c r="AY69" s="687"/>
      <c r="AZ69" s="687"/>
      <c r="BA69" s="687"/>
      <c r="BB69" s="689">
        <f>_xll.xlInterpKruger(_xll.ohFilter($G$11:$G$89,$BC$11:$BC$89),_xll.ohFilter($AD$11:$AD$89,$BC$11:$BC$89),$G69)</f>
        <v>1.8184760420362937E-2</v>
      </c>
      <c r="BC69" s="695" t="b">
        <v>0</v>
      </c>
      <c r="BE69" s="706">
        <f>_xll.xlDateShiftMonth(BE68,1)</f>
        <v>44954</v>
      </c>
      <c r="BF69" s="707">
        <v>7.8880130963273568E-3</v>
      </c>
      <c r="BU69" s="133" t="s">
        <v>599</v>
      </c>
      <c r="BV69" s="133" t="s">
        <v>599</v>
      </c>
      <c r="BW69" s="133" t="s">
        <v>599</v>
      </c>
      <c r="BX69" s="133" t="s">
        <v>599</v>
      </c>
      <c r="BY69" s="133" t="s">
        <v>599</v>
      </c>
      <c r="BZ69" s="133" t="s">
        <v>599</v>
      </c>
      <c r="CA69" s="133" t="s">
        <v>599</v>
      </c>
      <c r="CB69" s="133" t="s">
        <v>599</v>
      </c>
      <c r="CC69" s="133" t="s">
        <v>599</v>
      </c>
      <c r="CD69" s="133" t="s">
        <v>599</v>
      </c>
      <c r="CE69" s="133" t="s">
        <v>599</v>
      </c>
      <c r="CF69" s="133" t="s">
        <v>599</v>
      </c>
    </row>
    <row r="70" spans="1:84">
      <c r="A70" s="17"/>
      <c r="B70" s="16"/>
      <c r="C70" s="18"/>
      <c r="D70" s="720">
        <f>MAX(_xll.xlDateSettle("TARGET",$D$4,2),L70)</f>
        <v>43179</v>
      </c>
      <c r="E70" s="718" t="s">
        <v>716</v>
      </c>
      <c r="F70" s="13" t="s">
        <v>1177</v>
      </c>
      <c r="G70" s="681">
        <v>46692</v>
      </c>
      <c r="H70" s="37">
        <v>6.5</v>
      </c>
      <c r="I70" s="11">
        <v>46692</v>
      </c>
      <c r="J70" s="11">
        <v>35735</v>
      </c>
      <c r="K70" s="11">
        <v>35916</v>
      </c>
      <c r="L70" s="11">
        <v>35735</v>
      </c>
      <c r="M70" s="12">
        <v>100.15</v>
      </c>
      <c r="N70" s="12" t="s">
        <v>1293</v>
      </c>
      <c r="O70" s="12" t="s">
        <v>1178</v>
      </c>
      <c r="P70" s="12" t="s">
        <v>1294</v>
      </c>
      <c r="Q70" s="15">
        <v>26763132147</v>
      </c>
      <c r="R70" s="12"/>
      <c r="S70" s="43">
        <f>_xll.RtGet("IDN",$X70,$S$9)</f>
        <v>140.81</v>
      </c>
      <c r="T70" s="43">
        <f>_xll.RtGet("IDN",$X70,$T$9)</f>
        <v>140.93</v>
      </c>
      <c r="U70" s="25">
        <f t="shared" si="9"/>
        <v>140.87</v>
      </c>
      <c r="V70" s="12"/>
      <c r="W70" s="25">
        <f t="shared" si="2"/>
        <v>140.87</v>
      </c>
      <c r="X70" s="14" t="str">
        <f t="shared" si="3"/>
        <v>IT117461=TT</v>
      </c>
      <c r="Y70" s="14"/>
      <c r="Z70" s="14"/>
      <c r="AA70" s="14"/>
      <c r="AB70" s="14"/>
      <c r="AC70" s="14"/>
      <c r="AD70" s="34">
        <f>IF(ISNUMBER($D70),_xll.xlBondYield($F70,$H70,$G70,$J70,$K70,$L70,$M70,$D70,$W70,IF(NOT($H70),TRUE,FALSE)),"")</f>
        <v>1.8506069472515749E-2</v>
      </c>
      <c r="AE70" s="12"/>
      <c r="AF70" s="12"/>
      <c r="AG70" s="12"/>
      <c r="AH70" s="14"/>
      <c r="AI70" s="14"/>
      <c r="AJ70" s="14"/>
      <c r="AK70" s="246">
        <f>IF(ISNUMBER($D70),_xll.xlBondAswSpread($F70&amp;T(TYPE($AV$1)),$H70,$G70,$J70,$K70,$L70,$M70,$D70,$W70,IF(NOT($H70),TRUE,FALSE),curveName,curveName,,,2),"")</f>
        <v>1.1248880087874316</v>
      </c>
      <c r="AL70" s="213">
        <f>IF($W70&gt;0,_xll.xlBondZSpread(F70&amp;T(TYPE($AV$1)),H70,G70,J70,K70,L70,M70,D70,U70,"annual",5,IF(NOT($H70),TRUE,FALSE),curveName)*100,"")</f>
        <v>95.621235991377702</v>
      </c>
      <c r="AM70" s="266">
        <f>(-IF($AL$9="",VLOOKUP(VLOOKUP(E70,'DB Basis'!$D$2:$H$65205,4,0),Bonds!$AR$1:$AS$6,2,0),$AL$9)*VLOOKUP(E70,'DB Basis'!$D$2:$E$65205,2,0))+IF(V70="",W70,V70)</f>
        <v>15.576769999999982</v>
      </c>
      <c r="AN70" s="274" t="str">
        <f>IF($AN$9+(($AL$9-$AM$9))*('DB Basis'!F229/10-'DB Basis'!E229),," ")</f>
        <v xml:space="preserve"> </v>
      </c>
      <c r="AO70" s="639">
        <f>IF(U70&gt;0,_xll.xlShmImplSwap2(curveName&amp;T(TYPE($AV$1)),curveName,D70,G70,,1,8,2,4),"")</f>
        <v>9.8147208528922142E-3</v>
      </c>
      <c r="AP70" s="640">
        <f t="shared" si="4"/>
        <v>8.6913486196235346E-3</v>
      </c>
      <c r="AQ70" s="386">
        <f>IF(ISNUMBER(((AD70-AD68)/(G70-G68)*365)*10000),((AD70-AD68)/(G70-G68)*365)*10000,"-")</f>
        <v>3.1068131049333871</v>
      </c>
      <c r="AR70" s="386">
        <f t="shared" si="6"/>
        <v>-17.284803341127976</v>
      </c>
      <c r="AS70" s="388"/>
      <c r="AT70" s="242">
        <f t="shared" si="7"/>
        <v>1.825256167152238</v>
      </c>
      <c r="AU70" s="699" t="str">
        <f t="shared" si="1"/>
        <v>BTP  01-Nov-27  6.5</v>
      </c>
      <c r="AV70" s="703">
        <f t="shared" si="8"/>
        <v>0</v>
      </c>
      <c r="AW70" s="687"/>
      <c r="AX70" s="687"/>
      <c r="AY70" s="687"/>
      <c r="AZ70" s="687"/>
      <c r="BA70" s="687"/>
      <c r="BB70" s="689">
        <f>_xll.xlInterpKruger(_xll.ohFilter($G$11:$G$89,$BC$11:$BC$89),_xll.ohFilter($AD$11:$AD$89,$BC$11:$BC$89),$G70)</f>
        <v>1.8506069472515749E-2</v>
      </c>
      <c r="BC70" s="695" t="b">
        <v>1</v>
      </c>
      <c r="BE70" s="706">
        <f>_xll.xlDateShiftMonth(BE69,1)</f>
        <v>44985</v>
      </c>
      <c r="BF70" s="707">
        <v>8.1285424167232955E-3</v>
      </c>
      <c r="BU70" s="133" t="s">
        <v>599</v>
      </c>
      <c r="BV70" s="133" t="s">
        <v>599</v>
      </c>
      <c r="BW70" s="133" t="s">
        <v>599</v>
      </c>
      <c r="BX70" s="133" t="s">
        <v>599</v>
      </c>
      <c r="BY70" s="133" t="s">
        <v>599</v>
      </c>
      <c r="BZ70" s="133" t="s">
        <v>599</v>
      </c>
      <c r="CA70" s="133" t="s">
        <v>599</v>
      </c>
      <c r="CB70" s="133" t="s">
        <v>599</v>
      </c>
      <c r="CC70" s="133" t="s">
        <v>599</v>
      </c>
      <c r="CD70" s="133" t="s">
        <v>599</v>
      </c>
      <c r="CE70" s="133" t="s">
        <v>599</v>
      </c>
      <c r="CF70" s="133" t="s">
        <v>599</v>
      </c>
    </row>
    <row r="71" spans="1:84">
      <c r="A71" s="10"/>
      <c r="B71" s="11"/>
      <c r="C71" s="12"/>
      <c r="D71" s="720">
        <f>MAX(_xll.xlDateSettle("TARGET",$D$4,2),L71)</f>
        <v>43179</v>
      </c>
      <c r="E71" s="718" t="s">
        <v>1713</v>
      </c>
      <c r="F71" s="13" t="s">
        <v>1177</v>
      </c>
      <c r="G71" s="681">
        <v>46784</v>
      </c>
      <c r="H71" s="37">
        <v>2</v>
      </c>
      <c r="I71" s="11">
        <v>46784</v>
      </c>
      <c r="J71" s="11">
        <v>43132</v>
      </c>
      <c r="K71" s="11">
        <v>43313</v>
      </c>
      <c r="L71" s="11">
        <v>43132</v>
      </c>
      <c r="M71" s="12">
        <v>99.55</v>
      </c>
      <c r="N71" s="12" t="s">
        <v>1714</v>
      </c>
      <c r="O71" s="12" t="s">
        <v>1197</v>
      </c>
      <c r="P71" s="12" t="s">
        <v>1715</v>
      </c>
      <c r="Q71" s="15">
        <v>7762736000</v>
      </c>
      <c r="R71" s="12"/>
      <c r="S71" s="43">
        <f>_xll.RtGet("IDN",$X71,$S$9)</f>
        <v>100.44</v>
      </c>
      <c r="T71" s="43">
        <f>_xll.RtGet("IDN",$X71,$T$9)</f>
        <v>100.51</v>
      </c>
      <c r="U71" s="25">
        <f t="shared" si="9"/>
        <v>100.47499999999999</v>
      </c>
      <c r="V71" s="12"/>
      <c r="W71" s="25">
        <f t="shared" si="2"/>
        <v>100.47499999999999</v>
      </c>
      <c r="X71" s="14" t="str">
        <f t="shared" si="3"/>
        <v>IT532303=TT</v>
      </c>
      <c r="Y71" s="14"/>
      <c r="Z71" s="14"/>
      <c r="AA71" s="14"/>
      <c r="AB71" s="14"/>
      <c r="AC71" s="14"/>
      <c r="AD71" s="34">
        <f>IF(ISNUMBER($D71),_xll.xlBondYield($F71,$H71,$G71,$J71,$K71,$L71,$M71,$D71,$W71,IF(NOT($H71),TRUE,FALSE)),"")</f>
        <v>1.9561818175175352E-2</v>
      </c>
      <c r="AE71" s="12"/>
      <c r="AF71" s="12"/>
      <c r="AG71" s="12"/>
      <c r="AH71" s="14"/>
      <c r="AI71" s="14"/>
      <c r="AJ71" s="14"/>
      <c r="AK71" s="246">
        <f>IF(ISNUMBER($D71),_xll.xlBondAswSpread($F71&amp;T(TYPE($AV$1)),$H71,$G71,$J71,$K71,$L71,$M71,$D71,$W71,IF(NOT($H71),TRUE,FALSE),curveName,curveName,,,2),"")</f>
        <v>0.93492332908634823</v>
      </c>
      <c r="AL71" s="213">
        <f>IF($W71&gt;0,_xll.xlBondZSpread(F71&amp;T(TYPE($AV$1)),H71,G71,J71,K71,L71,M71,D71,U71,"annual",5,IF(NOT($H71),TRUE,FALSE),curveName)*100,"")</f>
        <v>97.207187344044044</v>
      </c>
      <c r="AM71" s="266">
        <f>(-IF($AL$9="",VLOOKUP(VLOOKUP(E71,'DB Basis'!$D$2:$H$65205,4,0),Bonds!$AR$1:$AS$6,2,0),$AL$9)*VLOOKUP(E71,'DB Basis'!$D$2:$E$65205,2,0))+IF(V71="",W71,V71)</f>
        <v>2.8141136449999777</v>
      </c>
      <c r="AN71" s="274" t="str">
        <f>IF($AN$9+(($AL$9-$AM$9))*('DB Basis'!F230/10-'DB Basis'!E230),," ")</f>
        <v xml:space="preserve"> </v>
      </c>
      <c r="AO71" s="639">
        <f>IF(U71&gt;0,_xll.xlShmImplSwap2(curveName&amp;T(TYPE($AV$1)),curveName,D71,G71,,1,8,2,4),"")</f>
        <v>1.0053344839956109E-2</v>
      </c>
      <c r="AP71" s="640">
        <f t="shared" si="4"/>
        <v>9.5084733352192429E-3</v>
      </c>
      <c r="AQ71" s="386">
        <f t="shared" si="5"/>
        <v>41.885682225082064</v>
      </c>
      <c r="AR71" s="386">
        <f t="shared" si="6"/>
        <v>32.418534912221041</v>
      </c>
      <c r="AS71" s="388"/>
      <c r="AT71" s="242">
        <f t="shared" si="7"/>
        <v>1.9293848063186649</v>
      </c>
      <c r="AU71" s="700" t="str">
        <f t="shared" si="1"/>
        <v>BTP  01-Feb-28  2</v>
      </c>
      <c r="AV71" s="703">
        <f t="shared" si="8"/>
        <v>7.0559576052278347E-4</v>
      </c>
      <c r="AW71" s="687"/>
      <c r="AX71" s="687"/>
      <c r="AY71" s="687"/>
      <c r="AZ71" s="687"/>
      <c r="BA71" s="687"/>
      <c r="BB71" s="689">
        <f>_xll.xlInterpKruger(_xll.ohFilter($G$11:$G$89,$BC$11:$BC$89),_xll.ohFilter($AD$11:$AD$89,$BC$11:$BC$89),$G71)</f>
        <v>1.8856222414652568E-2</v>
      </c>
      <c r="BC71" s="695" t="b">
        <v>0</v>
      </c>
      <c r="BE71" s="706">
        <f>_xll.xlDateShiftMonth(BE70,1)</f>
        <v>45013</v>
      </c>
      <c r="BF71" s="707">
        <v>8.3453895200997965E-3</v>
      </c>
      <c r="BU71" s="133" t="s">
        <v>599</v>
      </c>
      <c r="BV71" s="133" t="s">
        <v>599</v>
      </c>
      <c r="BW71" s="133" t="s">
        <v>599</v>
      </c>
      <c r="BX71" s="133" t="s">
        <v>599</v>
      </c>
      <c r="BY71" s="133" t="s">
        <v>599</v>
      </c>
      <c r="BZ71" s="133" t="s">
        <v>599</v>
      </c>
      <c r="CA71" s="133" t="s">
        <v>599</v>
      </c>
      <c r="CB71" s="133" t="s">
        <v>599</v>
      </c>
      <c r="CC71" s="133" t="s">
        <v>599</v>
      </c>
      <c r="CD71" s="133" t="s">
        <v>599</v>
      </c>
      <c r="CE71" s="133" t="s">
        <v>599</v>
      </c>
      <c r="CF71" s="133" t="s">
        <v>599</v>
      </c>
    </row>
    <row r="72" spans="1:84">
      <c r="A72" s="17"/>
      <c r="B72" s="16"/>
      <c r="C72" s="18"/>
      <c r="D72" s="720">
        <f>MAX(_xll.xlDateSettle("TARGET",$D$4,2),L72)</f>
        <v>43179</v>
      </c>
      <c r="E72" s="718" t="s">
        <v>717</v>
      </c>
      <c r="F72" s="13" t="s">
        <v>1177</v>
      </c>
      <c r="G72" s="681">
        <v>46997</v>
      </c>
      <c r="H72" s="37">
        <v>4.75</v>
      </c>
      <c r="I72" s="11">
        <v>46997</v>
      </c>
      <c r="J72" s="11">
        <v>41296</v>
      </c>
      <c r="K72" s="11">
        <v>41334</v>
      </c>
      <c r="L72" s="11">
        <v>41296</v>
      </c>
      <c r="M72" s="12">
        <v>100.017</v>
      </c>
      <c r="N72" s="12" t="s">
        <v>1295</v>
      </c>
      <c r="O72" s="12" t="s">
        <v>1178</v>
      </c>
      <c r="P72" s="12" t="s">
        <v>1296</v>
      </c>
      <c r="Q72" s="15">
        <v>21783654000</v>
      </c>
      <c r="R72" s="12"/>
      <c r="S72" s="43">
        <f>_xll.RtGet("IDN",$X72,$S$9)</f>
        <v>125.63000000000001</v>
      </c>
      <c r="T72" s="43">
        <f>_xll.RtGet("IDN",$X72,$T$9)</f>
        <v>125.71000000000001</v>
      </c>
      <c r="U72" s="25">
        <f t="shared" si="9"/>
        <v>125.67000000000002</v>
      </c>
      <c r="V72" s="12"/>
      <c r="W72" s="25">
        <f t="shared" si="2"/>
        <v>125.67000000000002</v>
      </c>
      <c r="X72" s="14" t="str">
        <f t="shared" si="3"/>
        <v>IT488903=TT</v>
      </c>
      <c r="Y72" s="14"/>
      <c r="Z72" s="14"/>
      <c r="AA72" s="14"/>
      <c r="AB72" s="14"/>
      <c r="AC72" s="14"/>
      <c r="AD72" s="34">
        <f>IF(ISNUMBER($D72),_xll.xlBondYield($F72,$H72,$G72,$J72,$K72,$L72,$M72,$D72,$W72,IF(NOT($H72),TRUE,FALSE)),"")</f>
        <v>2.0233255888034943E-2</v>
      </c>
      <c r="AE72" s="12"/>
      <c r="AF72" s="12"/>
      <c r="AG72" s="12"/>
      <c r="AH72" s="14"/>
      <c r="AI72" s="14"/>
      <c r="AJ72" s="14"/>
      <c r="AK72" s="246">
        <f>IF(ISNUMBER($D72),_xll.xlBondAswSpread($F72&amp;T(TYPE($AV$1)),$H72,$G72,$J72,$K72,$L72,$M72,$D72,$W72,IF(NOT($H72),TRUE,FALSE),curveName,curveName,,,2),"")</f>
        <v>1.1326467643044358</v>
      </c>
      <c r="AL72" s="213">
        <f>IF($W72&gt;0,_xll.xlBondZSpread(F72&amp;T(TYPE($AV$1)),H72,G72,J72,K72,L72,M72,D72,U72,"annual",5,IF(NOT($H72),TRUE,FALSE),curveName)*100,"")</f>
        <v>103.60408204210019</v>
      </c>
      <c r="AM72" s="266">
        <f>(-IF($AL$9="",VLOOKUP(VLOOKUP(E72,'DB Basis'!$D$2:$H$65205,4,0),Bonds!$AR$1:$AS$6,2,0),$AL$9)*VLOOKUP(E72,'DB Basis'!$D$2:$E$65205,2,0))+IF(V72="",W72,V72)</f>
        <v>1.244814599999998</v>
      </c>
      <c r="AN72" s="274" t="str">
        <f>IF($AN$9+(($AL$9-$AM$9))*('DB Basis'!F231/10-'DB Basis'!E231),," ")</f>
        <v xml:space="preserve"> </v>
      </c>
      <c r="AO72" s="639">
        <f>IF(U72&gt;0,_xll.xlShmImplSwap2(curveName&amp;T(TYPE($AV$1)),curveName,D72,G72,,1,8,2,4),"")</f>
        <v>1.0560582105463824E-2</v>
      </c>
      <c r="AP72" s="640">
        <f t="shared" si="4"/>
        <v>9.6726737825711187E-3</v>
      </c>
      <c r="AQ72" s="386">
        <f t="shared" si="5"/>
        <v>11.50585752083337</v>
      </c>
      <c r="AR72" s="386">
        <f t="shared" si="6"/>
        <v>2.8137635344335523</v>
      </c>
      <c r="AS72" s="388"/>
      <c r="AT72" s="242">
        <f t="shared" si="7"/>
        <v>1.9956087999157754</v>
      </c>
      <c r="AU72" s="699" t="str">
        <f t="shared" si="1"/>
        <v>BTP  01-Sep-28  4.75</v>
      </c>
      <c r="AV72" s="703">
        <f t="shared" si="8"/>
        <v>5.1059820251444371E-4</v>
      </c>
      <c r="AW72" s="687"/>
      <c r="AX72" s="687"/>
      <c r="AY72" s="687"/>
      <c r="AZ72" s="687"/>
      <c r="BA72" s="687"/>
      <c r="BB72" s="689">
        <f>_xll.xlInterpKruger(_xll.ohFilter($G$11:$G$89,$BC$11:$BC$89),_xll.ohFilter($AD$11:$AD$89,$BC$11:$BC$89),$G72)</f>
        <v>1.9722657685520499E-2</v>
      </c>
      <c r="BC72" s="695" t="b">
        <v>0</v>
      </c>
      <c r="BE72" s="706">
        <f>_xll.xlDateShiftMonth(BE71,1)</f>
        <v>45044</v>
      </c>
      <c r="BF72" s="707">
        <v>8.5770759300344904E-3</v>
      </c>
      <c r="BU72" s="133" t="s">
        <v>599</v>
      </c>
      <c r="BV72" s="133" t="s">
        <v>599</v>
      </c>
      <c r="BW72" s="133" t="s">
        <v>599</v>
      </c>
      <c r="BX72" s="133" t="s">
        <v>599</v>
      </c>
      <c r="BY72" s="133" t="s">
        <v>599</v>
      </c>
      <c r="BZ72" s="133" t="s">
        <v>599</v>
      </c>
      <c r="CA72" s="133" t="s">
        <v>599</v>
      </c>
      <c r="CB72" s="133" t="s">
        <v>599</v>
      </c>
      <c r="CC72" s="133" t="s">
        <v>599</v>
      </c>
      <c r="CD72" s="133" t="s">
        <v>599</v>
      </c>
      <c r="CE72" s="133" t="s">
        <v>599</v>
      </c>
      <c r="CF72" s="133" t="s">
        <v>599</v>
      </c>
    </row>
    <row r="73" spans="1:84" ht="17.25" customHeight="1">
      <c r="A73" s="10"/>
      <c r="B73" s="11"/>
      <c r="C73" s="12"/>
      <c r="D73" s="720">
        <f>MAX(_xll.xlDateSettle("TARGET",$D$4,2),L73)</f>
        <v>43179</v>
      </c>
      <c r="E73" s="718" t="s">
        <v>718</v>
      </c>
      <c r="F73" s="13" t="s">
        <v>1177</v>
      </c>
      <c r="G73" s="681">
        <v>47423</v>
      </c>
      <c r="H73" s="37">
        <v>5.25</v>
      </c>
      <c r="I73" s="11">
        <v>47423</v>
      </c>
      <c r="J73" s="11">
        <v>36100</v>
      </c>
      <c r="K73" s="11">
        <v>36281</v>
      </c>
      <c r="L73" s="11">
        <v>36117</v>
      </c>
      <c r="M73" s="12">
        <v>99.7</v>
      </c>
      <c r="N73" s="12" t="s">
        <v>1297</v>
      </c>
      <c r="O73" s="12" t="s">
        <v>1178</v>
      </c>
      <c r="P73" s="12" t="s">
        <v>1298</v>
      </c>
      <c r="Q73" s="15">
        <v>28148499209</v>
      </c>
      <c r="R73" s="12"/>
      <c r="S73" s="43">
        <f>_xll.RtGet("IDN",$X73,$S$9)</f>
        <v>132.04</v>
      </c>
      <c r="T73" s="43">
        <f>_xll.RtGet("IDN",$X73,$T$9)</f>
        <v>132.15</v>
      </c>
      <c r="U73" s="25">
        <f t="shared" si="9"/>
        <v>132.095</v>
      </c>
      <c r="V73" s="12"/>
      <c r="W73" s="25">
        <f t="shared" si="2"/>
        <v>132.095</v>
      </c>
      <c r="X73" s="14" t="str">
        <f t="shared" si="3"/>
        <v>IT127851=TT</v>
      </c>
      <c r="Y73" s="14"/>
      <c r="Z73" s="14"/>
      <c r="AA73" s="14"/>
      <c r="AB73" s="14"/>
      <c r="AC73" s="14"/>
      <c r="AD73" s="34">
        <f>IF(ISNUMBER($D73),_xll.xlBondYield($F73,$H73,$G73,$J73,$K73,$L73,$M73,$D73,$W73,IF(NOT($H73),TRUE,FALSE)),"")</f>
        <v>2.1293331804127485E-2</v>
      </c>
      <c r="AE73" s="12"/>
      <c r="AF73" s="12"/>
      <c r="AG73" s="12"/>
      <c r="AH73" s="14"/>
      <c r="AI73" s="14"/>
      <c r="AJ73" s="14"/>
      <c r="AK73" s="246">
        <f>IF(ISNUMBER($D73),_xll.xlBondAswSpread($F73&amp;T(TYPE($AV$1)),$H73,$G73,$J73,$K73,$L73,$M73,$D73,$W73,IF(NOT($H73),TRUE,FALSE),curveName,curveName,,,2),"")</f>
        <v>1.1961955251134064</v>
      </c>
      <c r="AL73" s="213">
        <f>IF($W73&gt;0,_xll.xlBondZSpread(F73&amp;T(TYPE($AV$1)),H73,G73,J73,K73,L73,M73,D73,U73,"annual",5,IF(NOT($H73),TRUE,FALSE),curveName)*100,"")</f>
        <v>106.40200035441171</v>
      </c>
      <c r="AM73" s="266">
        <f>(-IF($AL$9="",VLOOKUP(VLOOKUP(E73,'DB Basis'!$D$2:$H$65205,4,0),Bonds!$AR$1:$AS$6,2,0),$AL$9)*VLOOKUP(E73,'DB Basis'!$D$2:$E$65205,2,0))+IF(V73="",W73,V73)</f>
        <v>-7.9386100000000113</v>
      </c>
      <c r="AN73" s="274" t="str">
        <f>IF($AN$9+(($AL$9-$AM$9))*('DB Basis'!F232/10-'DB Basis'!E232),," ")</f>
        <v xml:space="preserve"> </v>
      </c>
      <c r="AO73" s="639">
        <f>IF(U73&gt;0,_xll.xlShmImplSwap2(curveName&amp;T(TYPE($AV$1)),curveName,D73,G73,,1,8,2,4),"")</f>
        <v>1.1495006525620103E-2</v>
      </c>
      <c r="AP73" s="640">
        <f t="shared" si="4"/>
        <v>9.7983252785073822E-3</v>
      </c>
      <c r="AQ73" s="386">
        <f t="shared" si="5"/>
        <v>9.0828100791966691</v>
      </c>
      <c r="AR73" s="386">
        <f t="shared" si="6"/>
        <v>1.0765914557919287</v>
      </c>
      <c r="AS73" s="388"/>
      <c r="AT73" s="242">
        <f t="shared" si="7"/>
        <v>2.1001642327358616</v>
      </c>
      <c r="AU73" s="699" t="str">
        <f t="shared" si="1"/>
        <v>BTP  01-Nov-29  5.25</v>
      </c>
      <c r="AV73" s="703">
        <f t="shared" si="8"/>
        <v>0</v>
      </c>
      <c r="AW73" s="687"/>
      <c r="AX73" s="687"/>
      <c r="AY73" s="687"/>
      <c r="AZ73" s="687"/>
      <c r="BA73" s="687"/>
      <c r="BB73" s="689">
        <f>_xll.xlInterpKruger(_xll.ohFilter($G$11:$G$89,$BC$11:$BC$89),_xll.ohFilter($AD$11:$AD$89,$BC$11:$BC$89),$G73)</f>
        <v>2.1293331804127485E-2</v>
      </c>
      <c r="BC73" s="695" t="b">
        <v>1</v>
      </c>
      <c r="BE73" s="706">
        <f>_xll.xlDateShiftMonth(BE72,1)</f>
        <v>45074</v>
      </c>
      <c r="BF73" s="707">
        <v>8.7941663315865386E-3</v>
      </c>
      <c r="BU73" s="133" t="s">
        <v>599</v>
      </c>
      <c r="BV73" s="133" t="s">
        <v>599</v>
      </c>
      <c r="BW73" s="133" t="s">
        <v>599</v>
      </c>
      <c r="BX73" s="133" t="s">
        <v>599</v>
      </c>
      <c r="BY73" s="133" t="s">
        <v>599</v>
      </c>
      <c r="BZ73" s="133" t="s">
        <v>599</v>
      </c>
      <c r="CA73" s="133" t="s">
        <v>599</v>
      </c>
      <c r="CB73" s="133" t="s">
        <v>599</v>
      </c>
      <c r="CC73" s="133" t="s">
        <v>599</v>
      </c>
      <c r="CD73" s="133" t="s">
        <v>599</v>
      </c>
      <c r="CE73" s="133" t="s">
        <v>599</v>
      </c>
      <c r="CF73" s="133" t="s">
        <v>599</v>
      </c>
    </row>
    <row r="74" spans="1:84">
      <c r="A74" s="17"/>
      <c r="B74" s="16"/>
      <c r="C74" s="18"/>
      <c r="D74" s="720">
        <f>MAX(_xll.xlDateSettle("TARGET",$D$4,2),L74)</f>
        <v>43179</v>
      </c>
      <c r="E74" s="718" t="s">
        <v>425</v>
      </c>
      <c r="F74" s="13" t="s">
        <v>1177</v>
      </c>
      <c r="G74" s="681">
        <v>47543</v>
      </c>
      <c r="H74" s="37">
        <v>3.5</v>
      </c>
      <c r="I74" s="11">
        <v>47543</v>
      </c>
      <c r="J74" s="11">
        <v>41699</v>
      </c>
      <c r="K74" s="11">
        <v>41883</v>
      </c>
      <c r="L74" s="11">
        <v>41780</v>
      </c>
      <c r="M74" s="12">
        <v>99.471000000000004</v>
      </c>
      <c r="N74" s="12" t="s">
        <v>1299</v>
      </c>
      <c r="O74" s="12" t="s">
        <v>1178</v>
      </c>
      <c r="P74" s="12" t="s">
        <v>1300</v>
      </c>
      <c r="Q74" s="15">
        <v>23156449000</v>
      </c>
      <c r="R74" s="12"/>
      <c r="S74" s="43">
        <f>_xll.RtGet("IDN",$X74,$S$9)</f>
        <v>113.35000000000001</v>
      </c>
      <c r="T74" s="43">
        <f>_xll.RtGet("IDN",$X74,$T$9)</f>
        <v>113.49000000000001</v>
      </c>
      <c r="U74" s="25">
        <f t="shared" si="9"/>
        <v>113.42000000000002</v>
      </c>
      <c r="V74" s="12"/>
      <c r="W74" s="25">
        <f t="shared" si="2"/>
        <v>113.42000000000002</v>
      </c>
      <c r="X74" s="14" t="str">
        <f t="shared" si="3"/>
        <v>IT502423=TT</v>
      </c>
      <c r="Y74" s="14"/>
      <c r="Z74" s="14"/>
      <c r="AA74" s="14"/>
      <c r="AB74" s="14"/>
      <c r="AC74" s="14"/>
      <c r="AD74" s="34">
        <f>IF(ISNUMBER($D74),_xll.xlBondYield($F74,$H74,$G74,$J74,$K74,$L74,$M74,$D74,$W74,IF(NOT($H74),TRUE,FALSE)),"")</f>
        <v>2.2275585734475838E-2</v>
      </c>
      <c r="AE74" s="12"/>
      <c r="AF74" s="12"/>
      <c r="AG74" s="12"/>
      <c r="AH74" s="14"/>
      <c r="AI74" s="14"/>
      <c r="AJ74" s="14"/>
      <c r="AK74" s="246">
        <f>IF(ISNUMBER($D74),_xll.xlBondAswSpread($F74&amp;T(TYPE($AV$1)),$H74,$G74,$J74,$K74,$L74,$M74,$D74,$W74,IF(NOT($H74),TRUE,FALSE),curveName,curveName,,,2),"")</f>
        <v>1.1357523048669331</v>
      </c>
      <c r="AL74" s="213">
        <f>IF($W74&gt;0,_xll.xlBondZSpread(F74&amp;T(TYPE($AV$1)),H74,G74,J74,K74,L74,M74,D74,U74,"annual",5,IF(NOT($H74),TRUE,FALSE),curveName)*100,"")</f>
        <v>110.8800435379967</v>
      </c>
      <c r="AM74" s="266">
        <f>(-IF($AL$9="",VLOOKUP(VLOOKUP(E74,'DB Basis'!$D$2:$H$65205,4,0),Bonds!$AR$1:$AS$6,2,0),$AL$9)*VLOOKUP(E74,'DB Basis'!$D$2:$E$65205,2,0))+IF(V74="",W74,V74)</f>
        <v>-16.513719999999978</v>
      </c>
      <c r="AN74" s="274" t="str">
        <f>IF($AN$9+(($AL$9-$AM$9))*('DB Basis'!F233/10-'DB Basis'!E233),," ")</f>
        <v xml:space="preserve"> </v>
      </c>
      <c r="AO74" s="639">
        <f>IF(U74&gt;0,_xll.xlShmImplSwap2(curveName&amp;T(TYPE($AV$1)),curveName,D74,G74,,1,8,2,4),"")</f>
        <v>1.1733081540263883E-2</v>
      </c>
      <c r="AP74" s="640">
        <f t="shared" si="4"/>
        <v>1.0542504194211955E-2</v>
      </c>
      <c r="AQ74" s="386">
        <f t="shared" si="5"/>
        <v>29.876890381429067</v>
      </c>
      <c r="AR74" s="386">
        <f t="shared" si="6"/>
        <v>22.635442019347419</v>
      </c>
      <c r="AS74" s="388"/>
      <c r="AT74" s="242">
        <f t="shared" si="7"/>
        <v>2.1970440724414524</v>
      </c>
      <c r="AU74" s="699" t="str">
        <f t="shared" si="1"/>
        <v>BTP  01-Mar-30  3.5</v>
      </c>
      <c r="AV74" s="703">
        <f t="shared" si="8"/>
        <v>6.4017929879763708E-4</v>
      </c>
      <c r="AW74" s="687"/>
      <c r="AX74" s="687"/>
      <c r="AY74" s="687"/>
      <c r="AZ74" s="687"/>
      <c r="BA74" s="687"/>
      <c r="BB74" s="689">
        <f>_xll.xlInterpKruger(_xll.ohFilter($G$11:$G$89,$BC$11:$BC$89),_xll.ohFilter($AD$11:$AD$89,$BC$11:$BC$89),$G74)</f>
        <v>2.1635406435678201E-2</v>
      </c>
      <c r="BC74" s="695" t="b">
        <v>0</v>
      </c>
      <c r="BE74" s="706">
        <f>_xll.xlDateShiftMonth(BE73,1)</f>
        <v>45105</v>
      </c>
      <c r="BF74" s="707">
        <v>9.0145846410177657E-3</v>
      </c>
      <c r="BU74" s="133" t="s">
        <v>599</v>
      </c>
      <c r="BV74" s="133" t="s">
        <v>599</v>
      </c>
      <c r="BW74" s="133" t="s">
        <v>599</v>
      </c>
      <c r="BX74" s="133" t="s">
        <v>599</v>
      </c>
      <c r="BY74" s="133" t="s">
        <v>599</v>
      </c>
      <c r="BZ74" s="133" t="s">
        <v>599</v>
      </c>
      <c r="CA74" s="133" t="s">
        <v>599</v>
      </c>
      <c r="CB74" s="133" t="s">
        <v>599</v>
      </c>
      <c r="CC74" s="133" t="s">
        <v>599</v>
      </c>
      <c r="CD74" s="133" t="s">
        <v>599</v>
      </c>
      <c r="CE74" s="133" t="s">
        <v>599</v>
      </c>
      <c r="CF74" s="133" t="s">
        <v>599</v>
      </c>
    </row>
    <row r="75" spans="1:84">
      <c r="A75" s="10"/>
      <c r="B75" s="11"/>
      <c r="C75" s="12"/>
      <c r="D75" s="720">
        <f>MAX(_xll.xlDateSettle("TARGET",$D$4,2),L75)</f>
        <v>43179</v>
      </c>
      <c r="E75" s="718" t="s">
        <v>719</v>
      </c>
      <c r="F75" s="13" t="s">
        <v>1177</v>
      </c>
      <c r="G75" s="681">
        <v>47969</v>
      </c>
      <c r="H75" s="37">
        <v>6</v>
      </c>
      <c r="I75" s="11">
        <v>47969</v>
      </c>
      <c r="J75" s="11">
        <v>36465</v>
      </c>
      <c r="K75" s="11">
        <v>36647</v>
      </c>
      <c r="L75" s="11">
        <v>36602</v>
      </c>
      <c r="M75" s="12">
        <v>102.4</v>
      </c>
      <c r="N75" s="12" t="s">
        <v>1301</v>
      </c>
      <c r="O75" s="12" t="s">
        <v>1178</v>
      </c>
      <c r="P75" s="12" t="s">
        <v>1302</v>
      </c>
      <c r="Q75" s="15">
        <v>29762750000</v>
      </c>
      <c r="R75" s="12"/>
      <c r="S75" s="43">
        <f>_xll.RtGet("IDN",$X75,$S$9)</f>
        <v>142.02000000000001</v>
      </c>
      <c r="T75" s="43">
        <f>_xll.RtGet("IDN",$X75,$T$9)</f>
        <v>142.18</v>
      </c>
      <c r="U75" s="25">
        <f t="shared" si="9"/>
        <v>142.10000000000002</v>
      </c>
      <c r="V75" s="12"/>
      <c r="W75" s="25">
        <f t="shared" si="2"/>
        <v>142.10000000000002</v>
      </c>
      <c r="X75" s="14" t="str">
        <f t="shared" si="3"/>
        <v>IT144437=TT</v>
      </c>
      <c r="Y75" s="14"/>
      <c r="Z75" s="14"/>
      <c r="AA75" s="14"/>
      <c r="AB75" s="14"/>
      <c r="AC75" s="14"/>
      <c r="AD75" s="34">
        <f>IF(ISNUMBER($D75),_xll.xlBondYield($F75,$H75,$G75,$J75,$K75,$L75,$M75,$D75,$W75,IF(NOT($H75),TRUE,FALSE)),"")</f>
        <v>2.2825661209871694E-2</v>
      </c>
      <c r="AE75" s="12"/>
      <c r="AF75" s="12"/>
      <c r="AG75" s="12"/>
      <c r="AH75" s="14"/>
      <c r="AI75" s="14"/>
      <c r="AJ75" s="14"/>
      <c r="AK75" s="246">
        <f>IF(ISNUMBER($D75),_xll.xlBondAswSpread($F75&amp;T(TYPE($AV$1)),$H75,$G75,$J75,$K75,$L75,$M75,$D75,$W75,IF(NOT($H75),TRUE,FALSE),curveName,curveName,,,2),"")</f>
        <v>1.3362205002804111</v>
      </c>
      <c r="AL75" s="213">
        <f>IF($W75&gt;0,_xll.xlBondZSpread(F75&amp;T(TYPE($AV$1)),H75,G75,J75,K75,L75,M75,D75,U75,"annual",5,IF(NOT($H75),TRUE,FALSE),curveName)*100,"")</f>
        <v>113.79267106795257</v>
      </c>
      <c r="AM75" s="266">
        <f>(-IF($AL$9="",VLOOKUP(VLOOKUP(E75,'DB Basis'!$D$2:$H$65205,4,0),Bonds!$AR$1:$AS$6,2,0),$AL$9)*VLOOKUP(E75,'DB Basis'!$D$2:$E$65205,2,0))+IF(V75="",W75,V75)</f>
        <v>-19.634725000000003</v>
      </c>
      <c r="AN75" s="274" t="str">
        <f>IF($AN$9+(($AL$9-$AM$9))*('DB Basis'!F234/10-'DB Basis'!E234),," ")</f>
        <v xml:space="preserve"> </v>
      </c>
      <c r="AO75" s="639">
        <f>IF(U75&gt;0,_xll.xlShmImplSwap2(curveName&amp;T(TYPE($AV$1)),curveName,D75,G75,,1,8,2,4),"")</f>
        <v>1.2493683212793191E-2</v>
      </c>
      <c r="AP75" s="640">
        <f t="shared" si="4"/>
        <v>1.0331977997078502E-2</v>
      </c>
      <c r="AQ75" s="386">
        <f t="shared" si="5"/>
        <v>4.7130879934151908</v>
      </c>
      <c r="AR75" s="386">
        <f t="shared" si="6"/>
        <v>-1.8038042712138556</v>
      </c>
      <c r="AS75" s="388"/>
      <c r="AT75" s="242">
        <f t="shared" si="7"/>
        <v>2.2512980919325503</v>
      </c>
      <c r="AU75" s="699" t="str">
        <f t="shared" ref="AU75:AU138" si="10">F75&amp;"  "&amp;TEXT(G75,"dd-mmm-yy")&amp;"  "&amp;H75</f>
        <v>BTP  01-May-31  6</v>
      </c>
      <c r="AV75" s="703">
        <f t="shared" si="8"/>
        <v>6.1451857464433352E-5</v>
      </c>
      <c r="AW75" s="687"/>
      <c r="AX75" s="687"/>
      <c r="AY75" s="687"/>
      <c r="AZ75" s="687"/>
      <c r="BA75" s="687"/>
      <c r="BB75" s="689">
        <f>_xll.xlInterpKruger(_xll.ohFilter($G$11:$G$89,$BC$11:$BC$89),_xll.ohFilter($AD$11:$AD$89,$BC$11:$BC$89),$G75)</f>
        <v>2.276420935240726E-2</v>
      </c>
      <c r="BC75" s="695" t="b">
        <v>0</v>
      </c>
      <c r="BE75" s="706">
        <f>_xll.xlDateShiftMonth(BE74,1)</f>
        <v>45135</v>
      </c>
      <c r="BF75" s="707">
        <v>9.2274139121069163E-3</v>
      </c>
      <c r="BU75" s="133" t="s">
        <v>599</v>
      </c>
      <c r="BV75" s="133" t="s">
        <v>599</v>
      </c>
      <c r="BW75" s="133" t="s">
        <v>599</v>
      </c>
      <c r="BX75" s="133" t="s">
        <v>599</v>
      </c>
      <c r="BY75" s="133" t="s">
        <v>599</v>
      </c>
      <c r="BZ75" s="133" t="s">
        <v>599</v>
      </c>
      <c r="CA75" s="133" t="s">
        <v>599</v>
      </c>
      <c r="CB75" s="133" t="s">
        <v>599</v>
      </c>
      <c r="CC75" s="133" t="s">
        <v>599</v>
      </c>
      <c r="CD75" s="133" t="s">
        <v>599</v>
      </c>
      <c r="CE75" s="133" t="s">
        <v>599</v>
      </c>
      <c r="CF75" s="133" t="s">
        <v>599</v>
      </c>
    </row>
    <row r="76" spans="1:84">
      <c r="A76" s="17"/>
      <c r="B76" s="16"/>
      <c r="C76" s="18"/>
      <c r="D76" s="720">
        <f>MAX(_xll.xlDateSettle("TARGET",$D$4,2),L76)</f>
        <v>43179</v>
      </c>
      <c r="E76" s="718" t="s">
        <v>824</v>
      </c>
      <c r="F76" s="13" t="s">
        <v>1177</v>
      </c>
      <c r="G76" s="681">
        <v>48274</v>
      </c>
      <c r="H76" s="37">
        <v>1.65</v>
      </c>
      <c r="I76" s="11">
        <v>48274</v>
      </c>
      <c r="J76" s="11">
        <v>42064</v>
      </c>
      <c r="K76" s="11">
        <v>42248</v>
      </c>
      <c r="L76" s="11">
        <v>42087</v>
      </c>
      <c r="M76" s="12">
        <v>99.501000000000005</v>
      </c>
      <c r="N76" s="12" t="s">
        <v>1303</v>
      </c>
      <c r="O76" s="12" t="s">
        <v>1178</v>
      </c>
      <c r="P76" s="12" t="s">
        <v>1304</v>
      </c>
      <c r="Q76" s="15">
        <v>21906727000</v>
      </c>
      <c r="R76" s="12"/>
      <c r="S76" s="43">
        <f>_xll.RtGet("IDN",$X76,$S$9)</f>
        <v>92.2</v>
      </c>
      <c r="T76" s="43">
        <f>_xll.RtGet("IDN",$X76,$T$9)</f>
        <v>92.3</v>
      </c>
      <c r="U76" s="25">
        <f t="shared" si="9"/>
        <v>92.25</v>
      </c>
      <c r="V76" s="12"/>
      <c r="W76" s="25">
        <f t="shared" ref="W76:W139" si="11">IF(V76="",U76,V76)</f>
        <v>92.25</v>
      </c>
      <c r="X76" s="14" t="str">
        <f t="shared" ref="X76:X139" si="12">LEFT($E76,2)&amp;IF(LEFT($E76,2)="FR",MID($E76,3,10),IF(LEFT($E76,2)="ES",MID($E76,4,8),IF(LEFT($E76,2)="PT",MID($E76,3,6)&amp;RIGHT($E76,3),IF(MID($E76,6,1)="0",MID($E76,7,5),MID($E76,6,6)))))&amp;"="&amp;IF(LEFT($E76,2)="IT","TT","")</f>
        <v>IT509408=TT</v>
      </c>
      <c r="Y76" s="14"/>
      <c r="Z76" s="14"/>
      <c r="AA76" s="14"/>
      <c r="AB76" s="14"/>
      <c r="AC76" s="14"/>
      <c r="AD76" s="34">
        <f>IF(ISNUMBER($D76),_xll.xlBondYield($F76,$H76,$G76,$J76,$K76,$L76,$M76,$D76,$W76,IF(NOT($H76),TRUE,FALSE)),"")</f>
        <v>2.3159547513399048E-2</v>
      </c>
      <c r="AE76" s="12"/>
      <c r="AF76" s="12"/>
      <c r="AG76" s="12"/>
      <c r="AH76" s="14"/>
      <c r="AI76" s="14"/>
      <c r="AJ76" s="14"/>
      <c r="AK76" s="246">
        <f>IF(ISNUMBER($D76),_xll.xlBondAswSpread($F76&amp;T(TYPE($AV$1)),$H76,$G76,$J76,$K76,$L76,$M76,$D76,$W76,IF(NOT($H76),TRUE,FALSE),curveName,curveName,,,2),"")</f>
        <v>0.9362511836781835</v>
      </c>
      <c r="AL76" s="213">
        <f>IF($W76&gt;0,_xll.xlBondZSpread(F76&amp;T(TYPE($AV$1)),H76,G76,J76,K76,L76,M76,D76,U76,"annual",5,IF(NOT($H76),TRUE,FALSE),curveName)*100,"")</f>
        <v>103.1919115790559</v>
      </c>
      <c r="AM76" s="266">
        <f>(-IF($AL$9="",VLOOKUP(VLOOKUP(E76,'DB Basis'!$D$2:$H$65205,4,0),Bonds!$AR$1:$AS$6,2,0),$AL$9)*VLOOKUP(E76,'DB Basis'!$D$2:$E$65205,2,0))+IF(V76="",W76,V76)</f>
        <v>-38.502630000000011</v>
      </c>
      <c r="AN76" s="274" t="str">
        <f>IF($AN$9+(($AL$9-$AM$9))*('DB Basis'!F235/10-'DB Basis'!E235),," ")</f>
        <v xml:space="preserve"> </v>
      </c>
      <c r="AO76" s="639">
        <f>IF(U76&gt;0,_xll.xlShmImplSwap2(curveName&amp;T(TYPE($AV$1)),curveName,D76,G76,,1,8,2,4),"")</f>
        <v>1.2970607077227721E-2</v>
      </c>
      <c r="AP76" s="640">
        <f t="shared" ref="AP76:AP139" si="13">IF(AND(ISNUMBER(AD76),ISNUMBER(AO76)),AD76-AO76,"-")</f>
        <v>1.0188940436171327E-2</v>
      </c>
      <c r="AQ76" s="386">
        <f t="shared" ref="AQ76:AQ139" si="14">IF(ISNUMBER(((AD76-AD75)/(G76-G75)*365)*10000),((AD76-AD75)/(G76-G75)*365)*10000,"-")</f>
        <v>3.9956885504093247</v>
      </c>
      <c r="AR76" s="386">
        <f t="shared" ref="AR76:AR139" si="15">IF(ISNUMBER(((AP76-AP75)/(G76-G75)*365)*10000),((AP76-AP75)/(G76-G75)*365)*10000,"-")</f>
        <v>-1.7117609747907858</v>
      </c>
      <c r="AS76" s="388"/>
      <c r="AT76" s="242">
        <f t="shared" ref="AT76:AT139" si="16">IF(ISNUMBER(AD76),AD76*360/365*100,"-")</f>
        <v>2.2842293437873034</v>
      </c>
      <c r="AU76" s="699" t="str">
        <f t="shared" si="10"/>
        <v>BTP  01-Mar-32  1.65</v>
      </c>
      <c r="AV76" s="703">
        <f t="shared" ref="AV76:AV89" si="17">AD76-BB76</f>
        <v>-3.2201940768107618E-4</v>
      </c>
      <c r="AW76" s="687"/>
      <c r="AX76" s="687"/>
      <c r="AY76" s="687"/>
      <c r="AZ76" s="687"/>
      <c r="BA76" s="687"/>
      <c r="BB76" s="689">
        <f>_xll.xlInterpKruger(_xll.ohFilter($G$11:$G$89,$BC$11:$BC$89),_xll.ohFilter($AD$11:$AD$89,$BC$11:$BC$89),$G76)</f>
        <v>2.3481566921080124E-2</v>
      </c>
      <c r="BC76" s="695" t="b">
        <v>0</v>
      </c>
      <c r="BE76" s="706">
        <f>_xll.xlDateShiftMonth(BE75,1)</f>
        <v>45166</v>
      </c>
      <c r="BF76" s="707">
        <v>9.4502939857516247E-3</v>
      </c>
      <c r="BU76" s="133" t="s">
        <v>599</v>
      </c>
      <c r="BV76" s="133" t="s">
        <v>599</v>
      </c>
      <c r="BW76" s="133" t="s">
        <v>599</v>
      </c>
      <c r="BX76" s="133" t="s">
        <v>599</v>
      </c>
      <c r="BY76" s="133" t="s">
        <v>599</v>
      </c>
      <c r="BZ76" s="133" t="s">
        <v>599</v>
      </c>
      <c r="CA76" s="133" t="s">
        <v>599</v>
      </c>
      <c r="CB76" s="133" t="s">
        <v>599</v>
      </c>
      <c r="CC76" s="133" t="s">
        <v>599</v>
      </c>
      <c r="CD76" s="133" t="s">
        <v>599</v>
      </c>
      <c r="CE76" s="133" t="s">
        <v>599</v>
      </c>
      <c r="CF76" s="133" t="s">
        <v>599</v>
      </c>
    </row>
    <row r="77" spans="1:84">
      <c r="A77" s="10"/>
      <c r="B77" s="11"/>
      <c r="C77" s="12"/>
      <c r="D77" s="720">
        <f>MAX(_xll.xlDateSettle("TARGET",$D$4,2),L77)</f>
        <v>43179</v>
      </c>
      <c r="E77" s="718" t="s">
        <v>720</v>
      </c>
      <c r="F77" s="13" t="s">
        <v>1177</v>
      </c>
      <c r="G77" s="681">
        <v>48611</v>
      </c>
      <c r="H77" s="37">
        <v>5.75</v>
      </c>
      <c r="I77" s="11">
        <v>48611</v>
      </c>
      <c r="J77" s="11">
        <v>37288</v>
      </c>
      <c r="K77" s="11">
        <v>37469</v>
      </c>
      <c r="L77" s="11">
        <v>37333</v>
      </c>
      <c r="M77" s="12">
        <v>101.15</v>
      </c>
      <c r="N77" s="12" t="s">
        <v>1305</v>
      </c>
      <c r="O77" s="12" t="s">
        <v>1178</v>
      </c>
      <c r="P77" s="12" t="s">
        <v>1306</v>
      </c>
      <c r="Q77" s="15">
        <v>20761000000</v>
      </c>
      <c r="R77" s="12"/>
      <c r="S77" s="43">
        <f>_xll.RtGet("IDN",$X77,$S$9)</f>
        <v>141.44</v>
      </c>
      <c r="T77" s="43">
        <f>_xll.RtGet("IDN",$X77,$T$9)</f>
        <v>141.61000000000001</v>
      </c>
      <c r="U77" s="25">
        <f t="shared" ref="U77:U140" si="18">IF($U$4="B",AVERAGE(S77:T77),AVERAGE(S77:T77))</f>
        <v>141.52500000000001</v>
      </c>
      <c r="V77" s="12"/>
      <c r="W77" s="25">
        <f t="shared" si="11"/>
        <v>141.52500000000001</v>
      </c>
      <c r="X77" s="14" t="str">
        <f t="shared" si="12"/>
        <v>IT325682=TT</v>
      </c>
      <c r="Y77" s="14"/>
      <c r="Z77" s="14"/>
      <c r="AA77" s="14"/>
      <c r="AB77" s="14"/>
      <c r="AC77" s="14"/>
      <c r="AD77" s="34">
        <f>IF(ISNUMBER($D77),_xll.xlBondYield($F77,$H77,$G77,$J77,$K77,$L77,$M77,$D77,$W77,IF(NOT($H77),TRUE,FALSE)),"")</f>
        <v>2.4247047679159625E-2</v>
      </c>
      <c r="AE77" s="12"/>
      <c r="AF77" s="12"/>
      <c r="AG77" s="12"/>
      <c r="AH77" s="14"/>
      <c r="AI77" s="14"/>
      <c r="AJ77" s="14"/>
      <c r="AK77" s="246">
        <f>IF(ISNUMBER($D77),_xll.xlBondAswSpread($F77&amp;T(TYPE($AV$1)),$H77,$G77,$J77,$K77,$L77,$M77,$D77,$W77,IF(NOT($H77),TRUE,FALSE),curveName,curveName,,,2),"")</f>
        <v>1.3907802253347719</v>
      </c>
      <c r="AL77" s="213">
        <f>IF($W77&gt;0,_xll.xlBondZSpread(F77&amp;T(TYPE($AV$1)),H77,G77,J77,K77,L77,M77,D77,U77,"annual",5,IF(NOT($H77),TRUE,FALSE),curveName)*100,"")</f>
        <v>119.01054346465396</v>
      </c>
      <c r="AM77" s="266">
        <f>(-IF($AL$9="",VLOOKUP(VLOOKUP(E77,'DB Basis'!$D$2:$H$65205,4,0),Bonds!$AR$1:$AS$6,2,0),$AL$9)*VLOOKUP(E77,'DB Basis'!$D$2:$E$65205,2,0))+IF(V77="",W77,V77)</f>
        <v>-36.178470000000004</v>
      </c>
      <c r="AN77" s="274" t="str">
        <f>IF($AN$9+(($AL$9-$AM$9))*('DB Basis'!F236/10-'DB Basis'!E236),," ")</f>
        <v xml:space="preserve"> </v>
      </c>
      <c r="AO77" s="639">
        <f>IF(U77&gt;0,_xll.xlShmImplSwap2(curveName&amp;T(TYPE($AV$1)),curveName,D77,G77,,1,8,2,4),"")</f>
        <v>1.3425846148846203E-2</v>
      </c>
      <c r="AP77" s="640">
        <f t="shared" si="13"/>
        <v>1.0821201530313422E-2</v>
      </c>
      <c r="AQ77" s="386">
        <f t="shared" si="14"/>
        <v>11.778562626190226</v>
      </c>
      <c r="AR77" s="386">
        <f t="shared" si="15"/>
        <v>6.8479317318060779</v>
      </c>
      <c r="AS77" s="388"/>
      <c r="AT77" s="242">
        <f t="shared" si="16"/>
        <v>2.3914896341088943</v>
      </c>
      <c r="AU77" s="700" t="str">
        <f t="shared" si="10"/>
        <v>BTP  01-Feb-33  5.75</v>
      </c>
      <c r="AV77" s="703">
        <f t="shared" si="17"/>
        <v>7.1719375712740036E-5</v>
      </c>
      <c r="AW77" s="687"/>
      <c r="AX77" s="687"/>
      <c r="AY77" s="687"/>
      <c r="AZ77" s="687"/>
      <c r="BA77" s="687"/>
      <c r="BB77" s="689">
        <f>_xll.xlInterpKruger(_xll.ohFilter($G$11:$G$89,$BC$11:$BC$89),_xll.ohFilter($AD$11:$AD$89,$BC$11:$BC$89),$G77)</f>
        <v>2.4175328303446885E-2</v>
      </c>
      <c r="BC77" s="695" t="b">
        <v>0</v>
      </c>
      <c r="BE77" s="706">
        <f>_xll.xlDateShiftMonth(BE76,1)</f>
        <v>45197</v>
      </c>
      <c r="BF77" s="707">
        <v>9.6796868202708424E-3</v>
      </c>
      <c r="BU77" s="133" t="s">
        <v>599</v>
      </c>
      <c r="BV77" s="133" t="s">
        <v>599</v>
      </c>
      <c r="BW77" s="133" t="s">
        <v>599</v>
      </c>
      <c r="BX77" s="133" t="s">
        <v>599</v>
      </c>
      <c r="BY77" s="133" t="s">
        <v>599</v>
      </c>
      <c r="BZ77" s="133" t="s">
        <v>599</v>
      </c>
      <c r="CA77" s="133" t="s">
        <v>599</v>
      </c>
      <c r="CB77" s="133" t="s">
        <v>599</v>
      </c>
      <c r="CC77" s="133" t="s">
        <v>599</v>
      </c>
      <c r="CD77" s="133" t="s">
        <v>599</v>
      </c>
      <c r="CE77" s="133" t="s">
        <v>599</v>
      </c>
      <c r="CF77" s="133" t="s">
        <v>599</v>
      </c>
    </row>
    <row r="78" spans="1:84">
      <c r="A78" s="17"/>
      <c r="B78" s="16"/>
      <c r="C78" s="18"/>
      <c r="D78" s="720">
        <f>MAX(_xll.xlDateSettle("TARGET",$D$4,2),L78)</f>
        <v>43179</v>
      </c>
      <c r="E78" s="718" t="s">
        <v>945</v>
      </c>
      <c r="F78" s="13" t="s">
        <v>1177</v>
      </c>
      <c r="G78" s="681">
        <v>48823</v>
      </c>
      <c r="H78" s="37">
        <v>2.4500000000000002</v>
      </c>
      <c r="I78" s="11">
        <v>48823</v>
      </c>
      <c r="J78" s="11">
        <v>42614</v>
      </c>
      <c r="K78" s="11">
        <v>42795</v>
      </c>
      <c r="L78" s="11">
        <v>42760</v>
      </c>
      <c r="M78" s="12">
        <v>999</v>
      </c>
      <c r="N78" s="12" t="s">
        <v>1307</v>
      </c>
      <c r="O78" s="12" t="s">
        <v>1197</v>
      </c>
      <c r="P78" s="12" t="s">
        <v>1308</v>
      </c>
      <c r="Q78" s="15">
        <v>11724163000</v>
      </c>
      <c r="R78" s="12"/>
      <c r="S78" s="43">
        <f>_xll.RtGet("IDN",$X78,$S$9)</f>
        <v>100.02</v>
      </c>
      <c r="T78" s="43">
        <f>_xll.RtGet("IDN",$X78,$T$9)</f>
        <v>100.22</v>
      </c>
      <c r="U78" s="25">
        <f t="shared" si="18"/>
        <v>100.12</v>
      </c>
      <c r="V78" s="12"/>
      <c r="W78" s="25">
        <f t="shared" si="11"/>
        <v>100.12</v>
      </c>
      <c r="X78" s="14" t="str">
        <f t="shared" si="12"/>
        <v>IT524035=TT</v>
      </c>
      <c r="Y78" s="14"/>
      <c r="Z78" s="14"/>
      <c r="AA78" s="14"/>
      <c r="AB78" s="14"/>
      <c r="AC78" s="14"/>
      <c r="AD78" s="34">
        <f>IF(ISNUMBER($D78),_xll.xlBondYield($F78,$H78,$G78,$J78,$K78,$L78,$M78,$D78,$W78,IF(NOT($H78),TRUE,FALSE)),"")</f>
        <v>2.4553964038422346E-2</v>
      </c>
      <c r="AE78" s="12"/>
      <c r="AF78" s="12"/>
      <c r="AG78" s="12"/>
      <c r="AH78" s="14"/>
      <c r="AI78" s="14"/>
      <c r="AJ78" s="14"/>
      <c r="AK78" s="246">
        <f>IF(ISNUMBER($D78),_xll.xlBondAswSpread($F78&amp;T(TYPE($AV$1)),$H78,$G78,$J78,$K78,$L78,$M78,$D78,$W78,IF(NOT($H78),TRUE,FALSE),curveName,curveName,,,2),"")</f>
        <v>1.0648839633289557</v>
      </c>
      <c r="AL78" s="213">
        <f>IF($W78&gt;0,_xll.xlBondZSpread(F78&amp;T(TYPE($AV$1)),H78,G78,J78,K78,L78,M78,D78,U78,"annual",5,IF(NOT($H78),TRUE,FALSE),curveName)*100,"")</f>
        <v>112.54072188023723</v>
      </c>
      <c r="AM78" s="266">
        <f>(-IF($AL$9="",VLOOKUP(VLOOKUP(E78,'DB Basis'!$D$2:$H$65205,4,0),Bonds!$AR$1:$AS$6,2,0),$AL$9)*VLOOKUP(E78,'DB Basis'!$D$2:$E$65205,2,0))+IF(V78="",W78,V78)</f>
        <v>-47.010830000000027</v>
      </c>
      <c r="AN78" s="274" t="str">
        <f>IF($AN$9+(($AL$9-$AM$9))*('DB Basis'!F237/10-'DB Basis'!E237),," ")</f>
        <v xml:space="preserve"> </v>
      </c>
      <c r="AO78" s="639">
        <f>IF(U78&gt;0,_xll.xlShmImplSwap2(curveName&amp;T(TYPE($AV$1)),curveName,D78,G78,,1,8,2,4),"")</f>
        <v>1.3658004032701074E-2</v>
      </c>
      <c r="AP78" s="640">
        <f t="shared" si="13"/>
        <v>1.0895960005721272E-2</v>
      </c>
      <c r="AQ78" s="386">
        <f t="shared" si="14"/>
        <v>5.2841731665515663</v>
      </c>
      <c r="AR78" s="386">
        <f t="shared" si="15"/>
        <v>1.2871152605596758</v>
      </c>
      <c r="AS78" s="388"/>
      <c r="AT78" s="242">
        <f t="shared" si="16"/>
        <v>2.4217608366663139</v>
      </c>
      <c r="AU78" s="699" t="str">
        <f t="shared" si="10"/>
        <v>BTP  01-Sep-33  2.45</v>
      </c>
      <c r="AV78" s="703">
        <f t="shared" si="17"/>
        <v>0</v>
      </c>
      <c r="AW78" s="687"/>
      <c r="AX78" s="687"/>
      <c r="AY78" s="687"/>
      <c r="AZ78" s="687"/>
      <c r="BA78" s="687"/>
      <c r="BB78" s="689">
        <f>_xll.xlInterpKruger(_xll.ohFilter($G$11:$G$89,$BC$11:$BC$89),_xll.ohFilter($AD$11:$AD$89,$BC$11:$BC$89),$G78)</f>
        <v>2.4553964038422346E-2</v>
      </c>
      <c r="BC78" s="695" t="b">
        <v>1</v>
      </c>
      <c r="BE78" s="706">
        <f>_xll.xlDateShiftMonth(BE77,1)</f>
        <v>45227</v>
      </c>
      <c r="BF78" s="707">
        <v>9.9112207948081205E-3</v>
      </c>
      <c r="BU78" s="133" t="s">
        <v>599</v>
      </c>
      <c r="BV78" s="133" t="s">
        <v>599</v>
      </c>
      <c r="BW78" s="133" t="s">
        <v>599</v>
      </c>
      <c r="BX78" s="133" t="s">
        <v>599</v>
      </c>
      <c r="BY78" s="133" t="s">
        <v>599</v>
      </c>
      <c r="BZ78" s="133" t="s">
        <v>599</v>
      </c>
      <c r="CA78" s="133" t="s">
        <v>599</v>
      </c>
      <c r="CB78" s="133" t="s">
        <v>599</v>
      </c>
      <c r="CC78" s="133" t="s">
        <v>599</v>
      </c>
      <c r="CD78" s="133" t="s">
        <v>599</v>
      </c>
      <c r="CE78" s="133" t="s">
        <v>599</v>
      </c>
      <c r="CF78" s="133" t="s">
        <v>599</v>
      </c>
    </row>
    <row r="79" spans="1:84">
      <c r="A79" s="10"/>
      <c r="B79" s="11"/>
      <c r="C79" s="12"/>
      <c r="D79" s="720">
        <f>MAX(_xll.xlDateSettle("TARGET",$D$4,2),L79)</f>
        <v>43179</v>
      </c>
      <c r="E79" s="718" t="s">
        <v>721</v>
      </c>
      <c r="F79" s="13" t="s">
        <v>1177</v>
      </c>
      <c r="G79" s="681">
        <v>49157</v>
      </c>
      <c r="H79" s="37">
        <v>5</v>
      </c>
      <c r="I79" s="11">
        <v>49157</v>
      </c>
      <c r="J79" s="11">
        <v>37834</v>
      </c>
      <c r="K79" s="11">
        <v>38018</v>
      </c>
      <c r="L79" s="11">
        <v>37888</v>
      </c>
      <c r="M79" s="12">
        <v>98.105999999999995</v>
      </c>
      <c r="N79" s="12" t="s">
        <v>1309</v>
      </c>
      <c r="O79" s="12" t="s">
        <v>1178</v>
      </c>
      <c r="P79" s="12" t="s">
        <v>1310</v>
      </c>
      <c r="Q79" s="15">
        <v>25110921000</v>
      </c>
      <c r="R79" s="12"/>
      <c r="S79" s="43">
        <f>_xll.RtGet("IDN",$X79,$S$9)</f>
        <v>133.72</v>
      </c>
      <c r="T79" s="43">
        <f>_xll.RtGet("IDN",$X79,$T$9)</f>
        <v>133.9</v>
      </c>
      <c r="U79" s="25">
        <f t="shared" si="18"/>
        <v>133.81</v>
      </c>
      <c r="V79" s="12"/>
      <c r="W79" s="25">
        <f t="shared" si="11"/>
        <v>133.81</v>
      </c>
      <c r="X79" s="14" t="str">
        <f t="shared" si="12"/>
        <v>IT353515=TT</v>
      </c>
      <c r="Y79" s="14"/>
      <c r="Z79" s="14"/>
      <c r="AA79" s="14"/>
      <c r="AB79" s="14"/>
      <c r="AC79" s="14"/>
      <c r="AD79" s="34">
        <f>IF(ISNUMBER($D79),_xll.xlBondYield($F79,$H79,$G79,$J79,$K79,$L79,$M79,$D79,$W79,IF(NOT($H79),TRUE,FALSE)),"")</f>
        <v>2.4904186013305657E-2</v>
      </c>
      <c r="AE79" s="12"/>
      <c r="AF79" s="12"/>
      <c r="AG79" s="12"/>
      <c r="AH79" s="14"/>
      <c r="AI79" s="14"/>
      <c r="AJ79" s="14"/>
      <c r="AK79" s="246">
        <f>IF(ISNUMBER($D79),_xll.xlBondAswSpread($F79&amp;T(TYPE($AV$1)),$H79,$G79,$J79,$K79,$L79,$M79,$D79,$W79,IF(NOT($H79),TRUE,FALSE),curveName,curveName,,,2),"")</f>
        <v>1.3366987448383356</v>
      </c>
      <c r="AL79" s="213">
        <f>IF($W79&gt;0,_xll.xlBondZSpread(F79&amp;T(TYPE($AV$1)),H79,G79,J79,K79,L79,M79,D79,U79,"annual",5,IF(NOT($H79),TRUE,FALSE),curveName)*100,"")</f>
        <v>118.70149204300908</v>
      </c>
      <c r="AM79" s="266">
        <f>(-IF($AL$9="",VLOOKUP(VLOOKUP(E79,'DB Basis'!$D$2:$H$65205,4,0),Bonds!$AR$1:$AS$6,2,0),$AL$9)*VLOOKUP(E79,'DB Basis'!$D$2:$E$65205,2,0))+IF(V79="",W79,V79)</f>
        <v>-50.308265000000006</v>
      </c>
      <c r="AN79" s="274" t="str">
        <f>IF($AN$9+(($AL$9-$AM$9))*('DB Basis'!F238/10-'DB Basis'!E238),," ")</f>
        <v xml:space="preserve"> </v>
      </c>
      <c r="AO79" s="639">
        <f>IF(U79&gt;0,_xll.xlShmImplSwap2(curveName&amp;T(TYPE($AV$1)),curveName,D79,G79,,1,8,2,4),"")</f>
        <v>1.4005735348177456E-2</v>
      </c>
      <c r="AP79" s="640">
        <f t="shared" si="13"/>
        <v>1.0898450665128201E-2</v>
      </c>
      <c r="AQ79" s="386">
        <f t="shared" si="14"/>
        <v>3.8272760728265993</v>
      </c>
      <c r="AR79" s="386">
        <f t="shared" si="15"/>
        <v>2.721828393799864E-2</v>
      </c>
      <c r="AS79" s="388"/>
      <c r="AT79" s="242">
        <f t="shared" si="16"/>
        <v>2.4563032780246674</v>
      </c>
      <c r="AU79" s="700" t="str">
        <f t="shared" si="10"/>
        <v>BTP  01-Aug-34  5</v>
      </c>
      <c r="AV79" s="703">
        <f t="shared" si="17"/>
        <v>-1.6785852247067426E-4</v>
      </c>
      <c r="AW79" s="687"/>
      <c r="AX79" s="687"/>
      <c r="AY79" s="687"/>
      <c r="AZ79" s="687"/>
      <c r="BA79" s="687"/>
      <c r="BB79" s="689">
        <f>_xll.xlInterpKruger(_xll.ohFilter($G$11:$G$89,$BC$11:$BC$89),_xll.ohFilter($AD$11:$AD$89,$BC$11:$BC$89),$G79)</f>
        <v>2.5072044535776331E-2</v>
      </c>
      <c r="BC79" s="695" t="b">
        <v>0</v>
      </c>
      <c r="BE79" s="706">
        <f>_xll.xlDateShiftMonth(BE78,1)</f>
        <v>45258</v>
      </c>
      <c r="BF79" s="707">
        <v>1.0162984939956156E-2</v>
      </c>
      <c r="BU79" s="133" t="s">
        <v>599</v>
      </c>
      <c r="BV79" s="133" t="s">
        <v>599</v>
      </c>
      <c r="BW79" s="133" t="s">
        <v>599</v>
      </c>
      <c r="BX79" s="133" t="s">
        <v>599</v>
      </c>
      <c r="BY79" s="133" t="s">
        <v>599</v>
      </c>
      <c r="BZ79" s="133" t="s">
        <v>599</v>
      </c>
      <c r="CA79" s="133" t="s">
        <v>599</v>
      </c>
      <c r="CB79" s="133" t="s">
        <v>599</v>
      </c>
      <c r="CC79" s="133" t="s">
        <v>599</v>
      </c>
      <c r="CD79" s="133" t="s">
        <v>599</v>
      </c>
      <c r="CE79" s="133" t="s">
        <v>599</v>
      </c>
      <c r="CF79" s="133" t="s">
        <v>599</v>
      </c>
    </row>
    <row r="80" spans="1:84">
      <c r="A80" s="17"/>
      <c r="B80" s="16"/>
      <c r="C80" s="18"/>
      <c r="D80" s="720">
        <f>MAX(_xll.xlDateSettle("TARGET",$D$4,2),L80)</f>
        <v>43179</v>
      </c>
      <c r="E80" s="718" t="s">
        <v>868</v>
      </c>
      <c r="F80" s="13" t="s">
        <v>1177</v>
      </c>
      <c r="G80" s="681">
        <v>49919</v>
      </c>
      <c r="H80" s="37">
        <v>2.25</v>
      </c>
      <c r="I80" s="11">
        <v>49919</v>
      </c>
      <c r="J80" s="11">
        <v>42430</v>
      </c>
      <c r="K80" s="11">
        <v>42614</v>
      </c>
      <c r="L80" s="11">
        <v>42486</v>
      </c>
      <c r="M80" s="12">
        <v>99.367999999999995</v>
      </c>
      <c r="N80" s="12" t="s">
        <v>1311</v>
      </c>
      <c r="O80" s="12" t="s">
        <v>1178</v>
      </c>
      <c r="P80" s="12" t="s">
        <v>1312</v>
      </c>
      <c r="Q80" s="15">
        <v>14900000000</v>
      </c>
      <c r="R80" s="12"/>
      <c r="S80" s="43">
        <f>_xll.RtGet("IDN",$X80,$S$9)</f>
        <v>95.16</v>
      </c>
      <c r="T80" s="43">
        <f>_xll.RtGet("IDN",$X80,$T$9)</f>
        <v>95.34</v>
      </c>
      <c r="U80" s="25">
        <f t="shared" si="18"/>
        <v>95.25</v>
      </c>
      <c r="V80" s="12"/>
      <c r="W80" s="25">
        <f t="shared" si="11"/>
        <v>95.25</v>
      </c>
      <c r="X80" s="14" t="str">
        <f t="shared" si="12"/>
        <v>IT517790=TT</v>
      </c>
      <c r="Y80" s="14"/>
      <c r="Z80" s="14"/>
      <c r="AA80" s="14"/>
      <c r="AB80" s="14"/>
      <c r="AC80" s="14"/>
      <c r="AD80" s="34">
        <f>IF(ISNUMBER($D80),_xll.xlBondYield($F80,$H80,$G80,$J80,$K80,$L80,$M80,$D80,$W80,IF(NOT($H80),TRUE,FALSE)),"")</f>
        <v>2.5915356866437242E-2</v>
      </c>
      <c r="AE80" s="12"/>
      <c r="AF80" s="12"/>
      <c r="AG80" s="12"/>
      <c r="AH80" s="14"/>
      <c r="AI80" s="14"/>
      <c r="AJ80" s="14"/>
      <c r="AK80" s="246">
        <f>IF(ISNUMBER($D80),_xll.xlBondAswSpread($F80&amp;T(TYPE($AV$1)),$H80,$G80,$J80,$K80,$L80,$M80,$D80,$W80,IF(NOT($H80),TRUE,FALSE),curveName,curveName,,,2),"")</f>
        <v>1.0644347104217631</v>
      </c>
      <c r="AL80" s="213">
        <f>IF($W80&gt;0,_xll.xlBondZSpread(F80&amp;T(TYPE($AV$1)),H80,G80,J80,K80,L80,M80,D80,U80,"annual",5,IF(NOT($H80),TRUE,FALSE),curveName)*100,"")</f>
        <v>116.1904157809392</v>
      </c>
      <c r="AM80" s="266">
        <f>(-IF($AL$9="",VLOOKUP(VLOOKUP(E80,'DB Basis'!$D$2:$H$65205,4,0),Bonds!$AR$1:$AS$6,2,0),$AL$9)*VLOOKUP(E80,'DB Basis'!$D$2:$E$65205,2,0))+IF(V80="",W80,V80)</f>
        <v>-67.303635000000014</v>
      </c>
      <c r="AN80" s="274" t="str">
        <f>IF($AN$9+(($AL$9-$AM$9))*('DB Basis'!F239/10-'DB Basis'!E239),," ")</f>
        <v xml:space="preserve"> </v>
      </c>
      <c r="AO80" s="639">
        <f>IF(U80&gt;0,_xll.xlShmImplSwap2(curveName&amp;T(TYPE($AV$1)),curveName,D80,G80,,1,8,2,4),"")</f>
        <v>1.4608754974513614E-2</v>
      </c>
      <c r="AP80" s="640">
        <f t="shared" si="13"/>
        <v>1.1306601891923628E-2</v>
      </c>
      <c r="AQ80" s="386">
        <f t="shared" si="14"/>
        <v>4.8435349264176972</v>
      </c>
      <c r="AR80" s="386">
        <f t="shared" si="15"/>
        <v>1.955055088980719</v>
      </c>
      <c r="AS80" s="388"/>
      <c r="AT80" s="242">
        <f t="shared" si="16"/>
        <v>2.5560351977855911</v>
      </c>
      <c r="AU80" s="699" t="str">
        <f t="shared" si="10"/>
        <v>BTP  01-Sep-36  2.25</v>
      </c>
      <c r="AV80" s="703">
        <f t="shared" si="17"/>
        <v>-1.0601781384875567E-4</v>
      </c>
      <c r="AW80" s="687"/>
      <c r="AX80" s="687"/>
      <c r="AY80" s="687"/>
      <c r="AZ80" s="687"/>
      <c r="BA80" s="687"/>
      <c r="BB80" s="689">
        <f>_xll.xlInterpKruger(_xll.ohFilter($G$11:$G$89,$BC$11:$BC$89),_xll.ohFilter($AD$11:$AD$89,$BC$11:$BC$89),$G80)</f>
        <v>2.6021374680285998E-2</v>
      </c>
      <c r="BC80" s="695" t="b">
        <v>0</v>
      </c>
      <c r="BE80" s="706">
        <f>_xll.xlDateShiftMonth(BE79,1)</f>
        <v>45288</v>
      </c>
      <c r="BF80" s="707">
        <v>1.0417384775716246E-2</v>
      </c>
      <c r="BU80" s="133" t="s">
        <v>599</v>
      </c>
      <c r="BV80" s="133" t="s">
        <v>599</v>
      </c>
      <c r="BW80" s="133" t="s">
        <v>599</v>
      </c>
      <c r="BX80" s="133" t="s">
        <v>599</v>
      </c>
      <c r="BY80" s="133" t="s">
        <v>599</v>
      </c>
      <c r="BZ80" s="133" t="s">
        <v>599</v>
      </c>
      <c r="CA80" s="133" t="s">
        <v>599</v>
      </c>
      <c r="CB80" s="133" t="s">
        <v>599</v>
      </c>
      <c r="CC80" s="133" t="s">
        <v>599</v>
      </c>
      <c r="CD80" s="133" t="s">
        <v>599</v>
      </c>
      <c r="CE80" s="133" t="s">
        <v>599</v>
      </c>
      <c r="CF80" s="133" t="s">
        <v>599</v>
      </c>
    </row>
    <row r="81" spans="1:84">
      <c r="A81" s="10"/>
      <c r="B81" s="11"/>
      <c r="C81" s="12"/>
      <c r="D81" s="720">
        <f>MAX(_xll.xlDateSettle("TARGET",$D$4,2),L81)</f>
        <v>43179</v>
      </c>
      <c r="E81" s="718" t="s">
        <v>722</v>
      </c>
      <c r="F81" s="13" t="s">
        <v>1177</v>
      </c>
      <c r="G81" s="681">
        <v>50072</v>
      </c>
      <c r="H81" s="37">
        <v>4</v>
      </c>
      <c r="I81" s="11">
        <v>50072</v>
      </c>
      <c r="J81" s="11">
        <v>38565</v>
      </c>
      <c r="K81" s="11">
        <v>38749</v>
      </c>
      <c r="L81" s="11">
        <v>38644</v>
      </c>
      <c r="M81" s="12">
        <v>101.289</v>
      </c>
      <c r="N81" s="12" t="s">
        <v>1313</v>
      </c>
      <c r="O81" s="12" t="s">
        <v>1178</v>
      </c>
      <c r="P81" s="12" t="s">
        <v>1314</v>
      </c>
      <c r="Q81" s="15">
        <v>27220798000</v>
      </c>
      <c r="R81" s="12"/>
      <c r="S81" s="43">
        <f>_xll.RtGet("IDN",$X81,$S$9)</f>
        <v>120.66</v>
      </c>
      <c r="T81" s="43">
        <f>_xll.RtGet("IDN",$X81,$T$9)</f>
        <v>120.81</v>
      </c>
      <c r="U81" s="25">
        <f t="shared" si="18"/>
        <v>120.735</v>
      </c>
      <c r="V81" s="12"/>
      <c r="W81" s="25">
        <f t="shared" si="11"/>
        <v>120.735</v>
      </c>
      <c r="X81" s="14" t="str">
        <f t="shared" si="12"/>
        <v>IT393465=TT</v>
      </c>
      <c r="Y81" s="14"/>
      <c r="Z81" s="14"/>
      <c r="AA81" s="14"/>
      <c r="AB81" s="14"/>
      <c r="AC81" s="14"/>
      <c r="AD81" s="34">
        <f>IF(ISNUMBER($D81),_xll.xlBondYield($F81,$H81,$G81,$J81,$K81,$L81,$M81,$D81,$W81,IF(NOT($H81),TRUE,FALSE)),"")</f>
        <v>2.618787677109112E-2</v>
      </c>
      <c r="AE81" s="12"/>
      <c r="AF81" s="12"/>
      <c r="AG81" s="12"/>
      <c r="AH81" s="14"/>
      <c r="AI81" s="14"/>
      <c r="AJ81" s="14"/>
      <c r="AK81" s="246">
        <f>IF(ISNUMBER($D81),_xll.xlBondAswSpread($F81&amp;T(TYPE($AV$1)),$H81,$G81,$J81,$K81,$L81,$M81,$D81,$W81,IF(NOT($H81),TRUE,FALSE),curveName,curveName,,,2),"")</f>
        <v>1.2927894738351593</v>
      </c>
      <c r="AL81" s="213">
        <f>IF($W81&gt;0,_xll.xlBondZSpread(F81&amp;T(TYPE($AV$1)),H81,G81,J81,K81,L81,M81,D81,U81,"annual",5,IF(NOT($H81),TRUE,FALSE),curveName)*100,"")</f>
        <v>122.62445744618647</v>
      </c>
      <c r="AM81" s="266">
        <f>(-IF($AL$9="",VLOOKUP(VLOOKUP(E81,'DB Basis'!$D$2:$H$65205,4,0),Bonds!$AR$1:$AS$6,2,0),$AL$9)*VLOOKUP(E81,'DB Basis'!$D$2:$E$65205,2,0))+IF(V81="",W81,V81)</f>
        <v>-70.071029999999993</v>
      </c>
      <c r="AN81" s="274" t="str">
        <f>IF($AN$9+(($AL$9-$AM$9))*('DB Basis'!F240/10-'DB Basis'!E240),," ")</f>
        <v xml:space="preserve"> </v>
      </c>
      <c r="AO81" s="639">
        <f>IF(U81&gt;0,_xll.xlShmImplSwap2(curveName&amp;T(TYPE($AV$1)),curveName,D81,G81,,1,8,2,4),"")</f>
        <v>1.4708313620560146E-2</v>
      </c>
      <c r="AP81" s="640">
        <f t="shared" si="13"/>
        <v>1.1479563150530975E-2</v>
      </c>
      <c r="AQ81" s="386">
        <f t="shared" si="14"/>
        <v>6.5012918430500415</v>
      </c>
      <c r="AR81" s="386">
        <f t="shared" si="15"/>
        <v>4.126199960240621</v>
      </c>
      <c r="AS81" s="388"/>
      <c r="AT81" s="242">
        <f t="shared" si="16"/>
        <v>2.582913873313097</v>
      </c>
      <c r="AU81" s="699" t="str">
        <f t="shared" si="10"/>
        <v>BTP  01-Feb-37  4</v>
      </c>
      <c r="AV81" s="703">
        <f t="shared" si="17"/>
        <v>0</v>
      </c>
      <c r="AW81" s="687"/>
      <c r="AX81" s="687"/>
      <c r="AY81" s="687"/>
      <c r="AZ81" s="687"/>
      <c r="BA81" s="687"/>
      <c r="BB81" s="689">
        <f>_xll.xlInterpKruger(_xll.ohFilter($G$11:$G$89,$BC$11:$BC$89),_xll.ohFilter($AD$11:$AD$89,$BC$11:$BC$89),$G81)</f>
        <v>2.618787677109112E-2</v>
      </c>
      <c r="BC81" s="695" t="b">
        <v>1</v>
      </c>
      <c r="BE81" s="706">
        <f>_xll.xlDateShiftMonth(BE80,1)</f>
        <v>45319</v>
      </c>
      <c r="BF81" s="707">
        <v>1.0688688793757999E-2</v>
      </c>
      <c r="BU81" s="133" t="s">
        <v>599</v>
      </c>
      <c r="BV81" s="133" t="s">
        <v>599</v>
      </c>
      <c r="BW81" s="133" t="s">
        <v>599</v>
      </c>
      <c r="BX81" s="133" t="s">
        <v>599</v>
      </c>
      <c r="BY81" s="133" t="s">
        <v>599</v>
      </c>
      <c r="BZ81" s="133" t="s">
        <v>599</v>
      </c>
      <c r="CA81" s="133" t="s">
        <v>599</v>
      </c>
      <c r="CB81" s="133" t="s">
        <v>599</v>
      </c>
      <c r="CC81" s="133" t="s">
        <v>599</v>
      </c>
      <c r="CD81" s="133" t="s">
        <v>599</v>
      </c>
      <c r="CE81" s="133" t="s">
        <v>599</v>
      </c>
      <c r="CF81" s="133" t="s">
        <v>599</v>
      </c>
    </row>
    <row r="82" spans="1:84">
      <c r="A82" s="17"/>
      <c r="B82" s="16"/>
      <c r="C82" s="18"/>
      <c r="D82" s="720">
        <f>MAX(_xll.xlDateSettle("TARGET",$D$4,2),L82)</f>
        <v>43179</v>
      </c>
      <c r="E82" s="718" t="s">
        <v>1704</v>
      </c>
      <c r="F82" s="13" t="s">
        <v>1177</v>
      </c>
      <c r="G82" s="681">
        <v>50649</v>
      </c>
      <c r="H82" s="37">
        <v>2.95</v>
      </c>
      <c r="I82" s="11">
        <v>50649</v>
      </c>
      <c r="J82" s="11">
        <v>42979</v>
      </c>
      <c r="K82" s="11">
        <v>43160</v>
      </c>
      <c r="L82" s="11">
        <v>43117</v>
      </c>
      <c r="M82" s="12">
        <v>999</v>
      </c>
      <c r="N82" s="12" t="s">
        <v>1705</v>
      </c>
      <c r="O82" s="12" t="s">
        <v>1197</v>
      </c>
      <c r="P82" s="12" t="s">
        <v>1706</v>
      </c>
      <c r="Q82" s="15">
        <v>9000000000</v>
      </c>
      <c r="R82" s="12"/>
      <c r="S82" s="43">
        <f>_xll.RtGet("IDN",$X82,$S$9)</f>
        <v>103.47</v>
      </c>
      <c r="T82" s="43">
        <f>_xll.RtGet("IDN",$X82,$T$9)</f>
        <v>103.66</v>
      </c>
      <c r="U82" s="25">
        <f t="shared" si="18"/>
        <v>103.565</v>
      </c>
      <c r="V82" s="12"/>
      <c r="W82" s="25">
        <f t="shared" si="11"/>
        <v>103.565</v>
      </c>
      <c r="X82" s="14" t="str">
        <f t="shared" si="12"/>
        <v>IT532132=TT</v>
      </c>
      <c r="Y82" s="14"/>
      <c r="Z82" s="14"/>
      <c r="AA82" s="14"/>
      <c r="AB82" s="14"/>
      <c r="AC82" s="14"/>
      <c r="AD82" s="34">
        <f>IF(ISNUMBER($D82),_xll.xlBondYield($F82,$H82,$G82,$J82,$K82,$L82,$M82,$D82,$W82,IF(NOT($H82),TRUE,FALSE)),"")</f>
        <v>2.7398792080307682E-2</v>
      </c>
      <c r="AE82" s="12"/>
      <c r="AF82" s="12"/>
      <c r="AG82" s="12"/>
      <c r="AH82" s="14"/>
      <c r="AI82" s="14"/>
      <c r="AJ82" s="14"/>
      <c r="AK82" s="246">
        <f>IF(ISNUMBER($D82),_xll.xlBondAswSpread($F82&amp;T(TYPE($AV$1)),$H82,$G82,$J82,$K82,$L82,$M82,$D82,$W82,IF(NOT($H82),TRUE,FALSE),curveName,curveName,,,2),"")</f>
        <v>1.2430332850387029</v>
      </c>
      <c r="AL82" s="213">
        <f>IF($W82&gt;0,_xll.xlBondZSpread(F82&amp;T(TYPE($AV$1)),H82,G82,J82,K82,L82,M82,D82,U82,"annual",5,IF(NOT($H82),TRUE,FALSE),curveName)*100,"")</f>
        <v>129.45098155783538</v>
      </c>
      <c r="AM82" s="266">
        <f>(-IF($AL$9="",VLOOKUP(VLOOKUP(E82,'DB Basis'!$D$2:$H$65205,4,0),Bonds!$AR$1:$AS$6,2,0),$AL$9)*VLOOKUP(E82,'DB Basis'!$D$2:$E$65205,2,0))+IF(V82="",W82,V82)</f>
        <v>-77.960050000000024</v>
      </c>
      <c r="AN82" s="274" t="str">
        <f>IF($AN$9+(($AL$9-$AM$9))*('DB Basis'!F241/10-'DB Basis'!E241),," ")</f>
        <v xml:space="preserve"> </v>
      </c>
      <c r="AO82" s="639">
        <f>IF(U82&gt;0,_xll.xlShmImplSwap2(curveName&amp;T(TYPE($AV$1)),curveName,D82,G82,,1,8,2,4),"")</f>
        <v>1.4975540973069296E-2</v>
      </c>
      <c r="AP82" s="640">
        <f t="shared" si="13"/>
        <v>1.2423251107238386E-2</v>
      </c>
      <c r="AQ82" s="386">
        <f t="shared" si="14"/>
        <v>7.6600361848188063</v>
      </c>
      <c r="AR82" s="386">
        <f t="shared" si="15"/>
        <v>5.9696031923432455</v>
      </c>
      <c r="AS82" s="388"/>
      <c r="AT82" s="242">
        <f t="shared" si="16"/>
        <v>2.7023466161399359</v>
      </c>
      <c r="AU82" s="699" t="str">
        <f t="shared" si="10"/>
        <v>BTP  01-Sep-38  2.95</v>
      </c>
      <c r="AV82" s="703">
        <f t="shared" si="17"/>
        <v>5.7825771590422348E-4</v>
      </c>
      <c r="AW82" s="687"/>
      <c r="AX82" s="687"/>
      <c r="AY82" s="687"/>
      <c r="AZ82" s="687"/>
      <c r="BA82" s="687"/>
      <c r="BB82" s="689">
        <f>_xll.xlInterpKruger(_xll.ohFilter($G$11:$G$89,$BC$11:$BC$89),_xll.ohFilter($AD$11:$AD$89,$BC$11:$BC$89),$G82)</f>
        <v>2.6820534364403459E-2</v>
      </c>
      <c r="BC82" s="695" t="b">
        <v>0</v>
      </c>
      <c r="BE82" s="706">
        <f>_xll.xlDateShiftMonth(BE81,1)</f>
        <v>45350</v>
      </c>
      <c r="BF82" s="707">
        <v>1.0965819477347047E-2</v>
      </c>
      <c r="BU82" s="133" t="s">
        <v>599</v>
      </c>
      <c r="BV82" s="133" t="s">
        <v>599</v>
      </c>
      <c r="BW82" s="133" t="s">
        <v>599</v>
      </c>
      <c r="BX82" s="133" t="s">
        <v>599</v>
      </c>
      <c r="BY82" s="133" t="s">
        <v>599</v>
      </c>
      <c r="BZ82" s="133" t="s">
        <v>599</v>
      </c>
      <c r="CA82" s="133" t="s">
        <v>599</v>
      </c>
      <c r="CB82" s="133" t="s">
        <v>599</v>
      </c>
      <c r="CC82" s="133" t="s">
        <v>599</v>
      </c>
      <c r="CD82" s="133" t="s">
        <v>599</v>
      </c>
      <c r="CE82" s="133" t="s">
        <v>599</v>
      </c>
      <c r="CF82" s="133" t="s">
        <v>599</v>
      </c>
    </row>
    <row r="83" spans="1:84">
      <c r="A83" s="10"/>
      <c r="B83" s="11"/>
      <c r="C83" s="12"/>
      <c r="D83" s="720">
        <f>MAX(_xll.xlDateSettle("TARGET",$D$4,2),L83)</f>
        <v>43179</v>
      </c>
      <c r="E83" s="718" t="s">
        <v>723</v>
      </c>
      <c r="F83" s="13" t="s">
        <v>1177</v>
      </c>
      <c r="G83" s="681">
        <v>50983</v>
      </c>
      <c r="H83" s="37">
        <v>5</v>
      </c>
      <c r="I83" s="11">
        <v>50983</v>
      </c>
      <c r="J83" s="11">
        <v>39295</v>
      </c>
      <c r="K83" s="11">
        <v>39479</v>
      </c>
      <c r="L83" s="11">
        <v>39378</v>
      </c>
      <c r="M83" s="12">
        <v>99.98</v>
      </c>
      <c r="N83" s="12" t="s">
        <v>1315</v>
      </c>
      <c r="O83" s="12" t="s">
        <v>1178</v>
      </c>
      <c r="P83" s="12" t="s">
        <v>1316</v>
      </c>
      <c r="Q83" s="15">
        <v>22520265000</v>
      </c>
      <c r="R83" s="12"/>
      <c r="S83" s="43">
        <f>_xll.RtGet("IDN",$X83,$S$9)</f>
        <v>136.03</v>
      </c>
      <c r="T83" s="43">
        <f>_xll.RtGet("IDN",$X83,$T$9)</f>
        <v>136.34</v>
      </c>
      <c r="U83" s="25">
        <f t="shared" si="18"/>
        <v>136.185</v>
      </c>
      <c r="V83" s="12"/>
      <c r="W83" s="25">
        <f t="shared" si="11"/>
        <v>136.185</v>
      </c>
      <c r="X83" s="14" t="str">
        <f t="shared" si="12"/>
        <v>IT428696=TT</v>
      </c>
      <c r="Y83" s="14"/>
      <c r="Z83" s="14"/>
      <c r="AA83" s="14"/>
      <c r="AB83" s="14"/>
      <c r="AC83" s="14"/>
      <c r="AD83" s="34">
        <f>IF(ISNUMBER($D83),_xll.xlBondYield($F83,$H83,$G83,$J83,$K83,$L83,$M83,$D83,$W83,IF(NOT($H83),TRUE,FALSE)),"")</f>
        <v>2.7681511299248555E-2</v>
      </c>
      <c r="AE83" s="12"/>
      <c r="AF83" s="12"/>
      <c r="AG83" s="12"/>
      <c r="AH83" s="14"/>
      <c r="AI83" s="14"/>
      <c r="AJ83" s="14"/>
      <c r="AK83" s="246">
        <f>IF(ISNUMBER($D83),_xll.xlBondAswSpread($F83&amp;T(TYPE($AV$1)),$H83,$G83,$J83,$K83,$L83,$M83,$D83,$W83,IF(NOT($H83),TRUE,FALSE),curveName,curveName,,,2),"")</f>
        <v>1.5479553655020422</v>
      </c>
      <c r="AL83" s="213">
        <f>IF($W83&gt;0,_xll.xlBondZSpread(F83&amp;T(TYPE($AV$1)),H83,G83,J83,K83,L83,M83,D83,U83,"annual",5,IF(NOT($H83),TRUE,FALSE),curveName)*100,"")</f>
        <v>135.71349863761981</v>
      </c>
      <c r="AM83" s="266">
        <f>(-IF($AL$9="",VLOOKUP(VLOOKUP(E83,'DB Basis'!$D$2:$H$65205,4,0),Bonds!$AR$1:$AS$6,2,0),$AL$9)*VLOOKUP(E83,'DB Basis'!$D$2:$E$65205,2,0))+IF(V83="",W83,V83)</f>
        <v>-87.513915000000026</v>
      </c>
      <c r="AN83" s="274" t="str">
        <f>IF($AN$9+(($AL$9-$AM$9))*('DB Basis'!F243/10-'DB Basis'!E243),," ")</f>
        <v xml:space="preserve"> </v>
      </c>
      <c r="AO83" s="639">
        <f>IF(U83&gt;0,_xll.xlShmImplSwap2(curveName&amp;T(TYPE($AV$1)),curveName,D83,G83,,1,8,2,4),"")</f>
        <v>1.5089349226088875E-2</v>
      </c>
      <c r="AP83" s="640">
        <f t="shared" si="13"/>
        <v>1.259216207315968E-2</v>
      </c>
      <c r="AQ83" s="386">
        <f t="shared" si="14"/>
        <v>3.0895962548927747</v>
      </c>
      <c r="AR83" s="386">
        <f t="shared" si="15"/>
        <v>1.8458833102177328</v>
      </c>
      <c r="AS83" s="388"/>
      <c r="AT83" s="242">
        <f t="shared" si="16"/>
        <v>2.7302312514327345</v>
      </c>
      <c r="AU83" s="699" t="str">
        <f t="shared" si="10"/>
        <v>BTP  01-Aug-39  5</v>
      </c>
      <c r="AV83" s="703">
        <f t="shared" si="17"/>
        <v>4.8917570428844495E-4</v>
      </c>
      <c r="AW83" s="687"/>
      <c r="AX83" s="687"/>
      <c r="AY83" s="687"/>
      <c r="AZ83" s="687"/>
      <c r="BA83" s="687"/>
      <c r="BB83" s="689">
        <f>_xll.xlInterpKruger(_xll.ohFilter($G$11:$G$89,$BC$11:$BC$89),_xll.ohFilter($AD$11:$AD$89,$BC$11:$BC$89),$G83)</f>
        <v>2.719233559496011E-2</v>
      </c>
      <c r="BC83" s="695" t="b">
        <v>0</v>
      </c>
      <c r="BE83" s="706">
        <f>_xll.xlDateShiftMonth(BE82,1)</f>
        <v>45379</v>
      </c>
      <c r="BF83" s="707">
        <v>1.122789602311576E-2</v>
      </c>
      <c r="BU83" s="133" t="s">
        <v>599</v>
      </c>
      <c r="BV83" s="133" t="s">
        <v>599</v>
      </c>
      <c r="BW83" s="133" t="s">
        <v>599</v>
      </c>
      <c r="BX83" s="133" t="s">
        <v>599</v>
      </c>
      <c r="BY83" s="133" t="s">
        <v>599</v>
      </c>
      <c r="BZ83" s="133" t="s">
        <v>599</v>
      </c>
      <c r="CA83" s="133" t="s">
        <v>599</v>
      </c>
      <c r="CB83" s="133" t="s">
        <v>599</v>
      </c>
      <c r="CC83" s="133" t="s">
        <v>599</v>
      </c>
      <c r="CD83" s="133" t="s">
        <v>599</v>
      </c>
      <c r="CE83" s="133" t="s">
        <v>599</v>
      </c>
      <c r="CF83" s="133" t="s">
        <v>599</v>
      </c>
    </row>
    <row r="84" spans="1:84">
      <c r="A84" s="17"/>
      <c r="B84" s="16"/>
      <c r="C84" s="18"/>
      <c r="D84" s="720">
        <f>MAX(_xll.xlDateSettle("TARGET",$D$4,2),L84)</f>
        <v>43179</v>
      </c>
      <c r="E84" s="718" t="s">
        <v>724</v>
      </c>
      <c r="F84" s="13" t="s">
        <v>1177</v>
      </c>
      <c r="G84" s="681">
        <v>51380</v>
      </c>
      <c r="H84" s="37">
        <v>5</v>
      </c>
      <c r="I84" s="11">
        <v>51380</v>
      </c>
      <c r="J84" s="11">
        <v>40057</v>
      </c>
      <c r="K84" s="11">
        <v>40238</v>
      </c>
      <c r="L84" s="11">
        <v>40072</v>
      </c>
      <c r="M84" s="12">
        <v>98.186000000000007</v>
      </c>
      <c r="N84" s="12" t="s">
        <v>1317</v>
      </c>
      <c r="O84" s="12" t="s">
        <v>1178</v>
      </c>
      <c r="P84" s="12" t="s">
        <v>1318</v>
      </c>
      <c r="Q84" s="15">
        <v>22152355000</v>
      </c>
      <c r="R84" s="12"/>
      <c r="S84" s="43">
        <f>_xll.RtGet("IDN",$X84,$S$9)</f>
        <v>135.75</v>
      </c>
      <c r="T84" s="43">
        <f>_xll.RtGet("IDN",$X84,$T$9)</f>
        <v>136.04</v>
      </c>
      <c r="U84" s="25">
        <f t="shared" si="18"/>
        <v>135.89499999999998</v>
      </c>
      <c r="V84" s="12"/>
      <c r="W84" s="25">
        <f t="shared" si="11"/>
        <v>135.89499999999998</v>
      </c>
      <c r="X84" s="14" t="str">
        <f t="shared" si="12"/>
        <v>IT453255=TT</v>
      </c>
      <c r="Y84" s="14"/>
      <c r="Z84" s="14"/>
      <c r="AA84" s="14"/>
      <c r="AB84" s="14"/>
      <c r="AC84" s="14"/>
      <c r="AD84" s="34">
        <f>IF(ISNUMBER($D84),_xll.xlBondYield($F84,$H84,$G84,$J84,$K84,$L84,$M84,$D84,$W84,IF(NOT($H84),TRUE,FALSE)),"")</f>
        <v>2.84834072151013E-2</v>
      </c>
      <c r="AE84" s="12"/>
      <c r="AF84" s="12"/>
      <c r="AG84" s="12"/>
      <c r="AH84" s="14"/>
      <c r="AI84" s="14"/>
      <c r="AJ84" s="14"/>
      <c r="AK84" s="246">
        <f>IF(ISNUMBER($D84),_xll.xlBondAswSpread($F84&amp;T(TYPE($AV$1)),$H84,$G84,$J84,$K84,$L84,$M84,$D84,$W84,IF(NOT($H84),TRUE,FALSE),curveName,curveName,,,2),"")</f>
        <v>1.6250063512100825</v>
      </c>
      <c r="AL84" s="213">
        <f>IF($W84&gt;0,_xll.xlBondZSpread(F84&amp;T(TYPE($AV$1)),H84,G84,J84,K84,L84,M84,D84,U84,"annual",5,IF(NOT($H84),TRUE,FALSE),curveName)*100,"")</f>
        <v>142.50735027080296</v>
      </c>
      <c r="AM84" s="266">
        <f>(-IF($AL$9="",VLOOKUP(VLOOKUP(E84,'DB Basis'!$D$2:$H$65205,4,0),Bonds!$AR$1:$AS$6,2,0),$AL$9)*VLOOKUP(E84,'DB Basis'!$D$2:$E$65205,2,0))+IF(V84="",W84,V84)</f>
        <v>-93.536285000000049</v>
      </c>
      <c r="AN84" s="274" t="str">
        <f>IF($AN$9+(($AL$9-$AM$9))*('DB Basis'!F244/10-'DB Basis'!E244),," ")</f>
        <v xml:space="preserve"> </v>
      </c>
      <c r="AO84" s="639">
        <f>IF(U84&gt;0,_xll.xlShmImplSwap2(curveName&amp;T(TYPE($AV$1)),curveName,D84,G84,,1,8,2,4),"")</f>
        <v>1.5191974510186342E-2</v>
      </c>
      <c r="AP84" s="640">
        <f t="shared" si="13"/>
        <v>1.3291432704914959E-2</v>
      </c>
      <c r="AQ84" s="386">
        <f t="shared" si="14"/>
        <v>7.3725946923489127</v>
      </c>
      <c r="AR84" s="386">
        <f t="shared" si="15"/>
        <v>6.4290624833923582</v>
      </c>
      <c r="AS84" s="388"/>
      <c r="AT84" s="242">
        <f t="shared" si="16"/>
        <v>2.8093223554620463</v>
      </c>
      <c r="AU84" s="699" t="str">
        <f t="shared" si="10"/>
        <v>BTP  01-Sep-40  5</v>
      </c>
      <c r="AV84" s="703">
        <f t="shared" si="17"/>
        <v>8.5252159974205308E-4</v>
      </c>
      <c r="AW84" s="687"/>
      <c r="AX84" s="687"/>
      <c r="AY84" s="687"/>
      <c r="AZ84" s="687"/>
      <c r="BA84" s="687"/>
      <c r="BB84" s="689">
        <f>_xll.xlInterpKruger(_xll.ohFilter($G$11:$G$89,$BC$11:$BC$89),_xll.ohFilter($AD$11:$AD$89,$BC$11:$BC$89),$G84)</f>
        <v>2.7630885615359247E-2</v>
      </c>
      <c r="BC84" s="695" t="b">
        <v>0</v>
      </c>
      <c r="BE84" s="706">
        <f>_xll.xlDateShiftMonth(BE83,1)</f>
        <v>45410</v>
      </c>
      <c r="BF84" s="707">
        <v>1.150844831825697E-2</v>
      </c>
      <c r="BU84" s="133" t="s">
        <v>599</v>
      </c>
      <c r="BV84" s="133" t="s">
        <v>599</v>
      </c>
      <c r="BW84" s="133" t="s">
        <v>599</v>
      </c>
      <c r="BX84" s="133" t="s">
        <v>599</v>
      </c>
      <c r="BY84" s="133" t="s">
        <v>599</v>
      </c>
      <c r="BZ84" s="133" t="s">
        <v>599</v>
      </c>
      <c r="CA84" s="133" t="s">
        <v>599</v>
      </c>
      <c r="CB84" s="133" t="s">
        <v>599</v>
      </c>
      <c r="CC84" s="133" t="s">
        <v>599</v>
      </c>
      <c r="CD84" s="133" t="s">
        <v>599</v>
      </c>
      <c r="CE84" s="133" t="s">
        <v>599</v>
      </c>
      <c r="CF84" s="133" t="s">
        <v>599</v>
      </c>
    </row>
    <row r="85" spans="1:84">
      <c r="A85" s="10"/>
      <c r="B85" s="11"/>
      <c r="C85" s="12"/>
      <c r="D85" s="720">
        <f>MAX(_xll.xlDateSettle("TARGET",$D$4,2),L85)</f>
        <v>43179</v>
      </c>
      <c r="E85" s="718" t="s">
        <v>725</v>
      </c>
      <c r="F85" s="13" t="s">
        <v>1177</v>
      </c>
      <c r="G85" s="681">
        <v>52841</v>
      </c>
      <c r="H85" s="37">
        <v>4.75</v>
      </c>
      <c r="I85" s="11">
        <v>52841</v>
      </c>
      <c r="J85" s="11">
        <v>41334</v>
      </c>
      <c r="K85" s="11">
        <v>41518</v>
      </c>
      <c r="L85" s="11">
        <v>41416</v>
      </c>
      <c r="M85" s="12">
        <v>97.221000000000004</v>
      </c>
      <c r="N85" s="12" t="s">
        <v>1319</v>
      </c>
      <c r="O85" s="12" t="s">
        <v>1197</v>
      </c>
      <c r="P85" s="12" t="s">
        <v>1320</v>
      </c>
      <c r="Q85" s="15">
        <v>17119363000</v>
      </c>
      <c r="R85" s="12"/>
      <c r="S85" s="43">
        <f>_xll.RtGet("IDN",$X85,$S$9)</f>
        <v>133.9</v>
      </c>
      <c r="T85" s="43">
        <f>_xll.RtGet("IDN",$X85,$T$9)</f>
        <v>134.17000000000002</v>
      </c>
      <c r="U85" s="25">
        <f t="shared" si="18"/>
        <v>134.03500000000003</v>
      </c>
      <c r="V85" s="12"/>
      <c r="W85" s="25">
        <f t="shared" si="11"/>
        <v>134.03500000000003</v>
      </c>
      <c r="X85" s="14" t="str">
        <f t="shared" si="12"/>
        <v>IT492399=TT</v>
      </c>
      <c r="Y85" s="14"/>
      <c r="Z85" s="14"/>
      <c r="AA85" s="14"/>
      <c r="AB85" s="14"/>
      <c r="AC85" s="14"/>
      <c r="AD85" s="34">
        <f>IF(ISNUMBER($D85),_xll.xlBondYield($F85,$H85,$G85,$J85,$K85,$L85,$M85,$D85,$W85,IF(NOT($H85),TRUE,FALSE)),"")</f>
        <v>2.9193942724172819E-2</v>
      </c>
      <c r="AE85" s="12"/>
      <c r="AF85" s="12"/>
      <c r="AG85" s="12"/>
      <c r="AH85" s="14"/>
      <c r="AI85" s="14"/>
      <c r="AJ85" s="14"/>
      <c r="AK85" s="246">
        <f>IF(ISNUMBER($D85),_xll.xlBondAswSpread($F85&amp;T(TYPE($AV$1)),$H85,$G85,$J85,$K85,$L85,$M85,$D85,$W85,IF(NOT($H85),TRUE,FALSE),curveName,curveName,,,2),"")</f>
        <v>1.6680922404120386</v>
      </c>
      <c r="AL85" s="213">
        <f>IF($W85&gt;0,_xll.xlBondZSpread(F85&amp;T(TYPE($AV$1)),H85,G85,J85,K85,L85,M85,D85,U85,"annual",5,IF(NOT($H85),TRUE,FALSE),curveName)*100,"")</f>
        <v>146.79253330697554</v>
      </c>
      <c r="AM85" s="266">
        <f>(-IF($AL$9="",VLOOKUP(VLOOKUP(E85,'DB Basis'!$D$2:$H$65205,4,0),Bonds!$AR$1:$AS$6,2,0),$AL$9)*VLOOKUP(E85,'DB Basis'!$D$2:$E$65205,2,0))+IF(V85="",W85,V85)</f>
        <v>-118.32576499999999</v>
      </c>
      <c r="AN85" s="274" t="str">
        <f>IF($AN$9+(($AL$9-$AM$9))*('DB Basis'!F245/10-'DB Basis'!E245),," ")</f>
        <v xml:space="preserve"> </v>
      </c>
      <c r="AO85" s="639">
        <f>IF(U85&gt;0,_xll.xlShmImplSwap2(curveName&amp;T(TYPE($AV$1)),curveName,D85,G85,,1,8,2,4),"")</f>
        <v>1.5339327786226174E-2</v>
      </c>
      <c r="AP85" s="640">
        <f t="shared" si="13"/>
        <v>1.3854614937946645E-2</v>
      </c>
      <c r="AQ85" s="386">
        <f t="shared" si="14"/>
        <v>1.7751229350520501</v>
      </c>
      <c r="AR85" s="386">
        <f t="shared" si="15"/>
        <v>1.4069918895042135</v>
      </c>
      <c r="AS85" s="388"/>
      <c r="AT85" s="242">
        <f t="shared" si="16"/>
        <v>2.8794025700554013</v>
      </c>
      <c r="AU85" s="699" t="str">
        <f t="shared" si="10"/>
        <v>BTP  01-Sep-44  4.75</v>
      </c>
      <c r="AV85" s="703">
        <f t="shared" si="17"/>
        <v>1.1725995227548566E-4</v>
      </c>
      <c r="AW85" s="687"/>
      <c r="AX85" s="687"/>
      <c r="AY85" s="687"/>
      <c r="AZ85" s="687"/>
      <c r="BA85" s="687"/>
      <c r="BB85" s="689">
        <f>_xll.xlInterpKruger(_xll.ohFilter($G$11:$G$89,$BC$11:$BC$89),_xll.ohFilter($AD$11:$AD$89,$BC$11:$BC$89),$G85)</f>
        <v>2.9076682771897334E-2</v>
      </c>
      <c r="BC85" s="695" t="b">
        <v>0</v>
      </c>
      <c r="BE85" s="706">
        <f>_xll.xlDateShiftMonth(BE84,1)</f>
        <v>45440</v>
      </c>
      <c r="BF85" s="707">
        <v>1.177779751366737E-2</v>
      </c>
      <c r="BU85" s="133" t="s">
        <v>599</v>
      </c>
      <c r="BV85" s="133" t="s">
        <v>599</v>
      </c>
      <c r="BW85" s="133" t="s">
        <v>599</v>
      </c>
      <c r="BX85" s="133" t="s">
        <v>599</v>
      </c>
      <c r="BY85" s="133" t="s">
        <v>599</v>
      </c>
      <c r="BZ85" s="133" t="s">
        <v>599</v>
      </c>
      <c r="CA85" s="133" t="s">
        <v>599</v>
      </c>
      <c r="CB85" s="133" t="s">
        <v>599</v>
      </c>
      <c r="CC85" s="133" t="s">
        <v>599</v>
      </c>
      <c r="CD85" s="133" t="s">
        <v>599</v>
      </c>
      <c r="CE85" s="133" t="s">
        <v>599</v>
      </c>
      <c r="CF85" s="133" t="s">
        <v>599</v>
      </c>
    </row>
    <row r="86" spans="1:84">
      <c r="A86" s="17"/>
      <c r="B86" s="16"/>
      <c r="C86" s="18"/>
      <c r="D86" s="720">
        <f>MAX(_xll.xlDateSettle("TARGET",$D$4,2),L86)</f>
        <v>43179</v>
      </c>
      <c r="E86" s="718" t="s">
        <v>596</v>
      </c>
      <c r="F86" s="13" t="s">
        <v>1177</v>
      </c>
      <c r="G86" s="681">
        <v>53571</v>
      </c>
      <c r="H86" s="37">
        <v>3.25</v>
      </c>
      <c r="I86" s="11">
        <v>53571</v>
      </c>
      <c r="J86" s="11">
        <v>41883</v>
      </c>
      <c r="K86" s="11">
        <v>42064</v>
      </c>
      <c r="L86" s="11">
        <v>42026</v>
      </c>
      <c r="M86" s="12">
        <v>99.706999999999994</v>
      </c>
      <c r="N86" s="12" t="s">
        <v>1321</v>
      </c>
      <c r="O86" s="12" t="s">
        <v>1178</v>
      </c>
      <c r="P86" s="12" t="s">
        <v>1322</v>
      </c>
      <c r="Q86" s="15">
        <v>15552825000</v>
      </c>
      <c r="R86" s="12"/>
      <c r="S86" s="43">
        <f>_xll.RtGet("IDN",$X86,$S$9)</f>
        <v>107.12</v>
      </c>
      <c r="T86" s="43">
        <f>_xll.RtGet("IDN",$X86,$T$9)</f>
        <v>107.43</v>
      </c>
      <c r="U86" s="25">
        <f t="shared" si="18"/>
        <v>107.27500000000001</v>
      </c>
      <c r="V86" s="12"/>
      <c r="W86" s="25">
        <f t="shared" si="11"/>
        <v>107.27500000000001</v>
      </c>
      <c r="X86" s="14" t="str">
        <f t="shared" si="12"/>
        <v>IT508305=TT</v>
      </c>
      <c r="Y86" s="14"/>
      <c r="Z86" s="14"/>
      <c r="AA86" s="14"/>
      <c r="AB86" s="14"/>
      <c r="AC86" s="14"/>
      <c r="AD86" s="34">
        <f>IF(ISNUMBER($D86),_xll.xlBondYield($F86,$H86,$G86,$J86,$K86,$L86,$M86,$D86,$W86,IF(NOT($H86),TRUE,FALSE)),"")</f>
        <v>2.894043406306504E-2</v>
      </c>
      <c r="AE86" s="12"/>
      <c r="AF86" s="12"/>
      <c r="AG86" s="12"/>
      <c r="AH86" s="14"/>
      <c r="AI86" s="14"/>
      <c r="AJ86" s="14"/>
      <c r="AK86" s="246">
        <f>IF(ISNUMBER($D86),_xll.xlBondAswSpread($F86&amp;T(TYPE($AV$1)),$H86,$G86,$J86,$K86,$L86,$M86,$D86,$W86,IF(NOT($H86),TRUE,FALSE),curveName,curveName,,,2),"")</f>
        <v>1.3903586206665111</v>
      </c>
      <c r="AL86" s="213">
        <f>IF($W86&gt;0,_xll.xlBondZSpread(F86&amp;T(TYPE($AV$1)),H86,G86,J86,K86,L86,M86,D86,U86,"annual",5,IF(NOT($H86),TRUE,FALSE),curveName)*100,"")</f>
        <v>141.09674449118549</v>
      </c>
      <c r="AM86" s="266">
        <f>(-IF($AL$9="",VLOOKUP(VLOOKUP(E86,'DB Basis'!$D$2:$H$65205,4,0),Bonds!$AR$1:$AS$6,2,0),$AL$9)*VLOOKUP(E86,'DB Basis'!$D$2:$E$65205,2,0))+IF(V86="",W86,V86)</f>
        <v>-120.51846500000002</v>
      </c>
      <c r="AN86" s="274" t="str">
        <f>IF($AN$9+(($AL$9-$AM$9))*('DB Basis'!F246/10-'DB Basis'!E246),," ")</f>
        <v xml:space="preserve"> </v>
      </c>
      <c r="AO86" s="639">
        <f>IF(U86&gt;0,_xll.xlShmImplSwap2(curveName&amp;T(TYPE($AV$1)),curveName,D86,G86,,1,8,2,4),"")</f>
        <v>1.5358111431391892E-2</v>
      </c>
      <c r="AP86" s="640">
        <f t="shared" si="13"/>
        <v>1.3582322631673149E-2</v>
      </c>
      <c r="AQ86" s="386">
        <f t="shared" si="14"/>
        <v>-1.2675433055388958</v>
      </c>
      <c r="AR86" s="386">
        <f t="shared" si="15"/>
        <v>-1.3614615313674825</v>
      </c>
      <c r="AS86" s="388"/>
      <c r="AT86" s="242">
        <f t="shared" si="16"/>
        <v>2.8543989760831274</v>
      </c>
      <c r="AU86" s="699" t="str">
        <f t="shared" si="10"/>
        <v>BTP  01-Sep-46  3.25</v>
      </c>
      <c r="AV86" s="703">
        <f t="shared" si="17"/>
        <v>-6.6465550184053451E-4</v>
      </c>
      <c r="AW86" s="687"/>
      <c r="AX86" s="687"/>
      <c r="AY86" s="687"/>
      <c r="AZ86" s="687"/>
      <c r="BA86" s="687"/>
      <c r="BB86" s="689">
        <f>_xll.xlInterpKruger(_xll.ohFilter($G$11:$G$89,$BC$11:$BC$89),_xll.ohFilter($AD$11:$AD$89,$BC$11:$BC$89),$G86)</f>
        <v>2.9605089564905575E-2</v>
      </c>
      <c r="BC86" s="695" t="b">
        <v>0</v>
      </c>
      <c r="BE86" s="706">
        <f>_xll.xlDateShiftMonth(BE85,1)</f>
        <v>45471</v>
      </c>
      <c r="BF86" s="707">
        <v>1.2051208721688727E-2</v>
      </c>
      <c r="BU86" s="133" t="s">
        <v>599</v>
      </c>
      <c r="BV86" s="133" t="s">
        <v>599</v>
      </c>
      <c r="BW86" s="133" t="s">
        <v>599</v>
      </c>
      <c r="BX86" s="133" t="s">
        <v>599</v>
      </c>
      <c r="BY86" s="133" t="s">
        <v>599</v>
      </c>
      <c r="BZ86" s="133" t="s">
        <v>599</v>
      </c>
      <c r="CA86" s="133" t="s">
        <v>599</v>
      </c>
      <c r="CB86" s="133" t="s">
        <v>599</v>
      </c>
      <c r="CC86" s="133" t="s">
        <v>599</v>
      </c>
      <c r="CD86" s="133" t="s">
        <v>599</v>
      </c>
      <c r="CE86" s="133" t="s">
        <v>599</v>
      </c>
      <c r="CF86" s="133" t="s">
        <v>599</v>
      </c>
    </row>
    <row r="87" spans="1:84">
      <c r="A87" s="10"/>
      <c r="B87" s="11"/>
      <c r="C87" s="12"/>
      <c r="D87" s="720">
        <f>MAX(_xll.xlDateSettle("TARGET",$D$4,2),L87)</f>
        <v>43179</v>
      </c>
      <c r="E87" s="718" t="s">
        <v>798</v>
      </c>
      <c r="F87" s="13" t="s">
        <v>1177</v>
      </c>
      <c r="G87" s="681">
        <v>53752</v>
      </c>
      <c r="H87" s="37">
        <v>2.7</v>
      </c>
      <c r="I87" s="11">
        <v>53752</v>
      </c>
      <c r="J87" s="11">
        <v>42409</v>
      </c>
      <c r="K87" s="11">
        <v>42430</v>
      </c>
      <c r="L87" s="11">
        <v>42409</v>
      </c>
      <c r="M87" s="12">
        <v>99.182000000000002</v>
      </c>
      <c r="N87" s="12" t="s">
        <v>1323</v>
      </c>
      <c r="O87" s="12" t="s">
        <v>1178</v>
      </c>
      <c r="P87" s="12" t="s">
        <v>1324</v>
      </c>
      <c r="Q87" s="15">
        <v>16671894000</v>
      </c>
      <c r="R87" s="12"/>
      <c r="S87" s="43">
        <f>_xll.RtGet("IDN",$X87,$S$9)</f>
        <v>96.4</v>
      </c>
      <c r="T87" s="43">
        <f>_xll.RtGet("IDN",$X87,$T$9)</f>
        <v>96.67</v>
      </c>
      <c r="U87" s="25">
        <f t="shared" si="18"/>
        <v>96.534999999999997</v>
      </c>
      <c r="V87" s="12"/>
      <c r="W87" s="25">
        <f t="shared" si="11"/>
        <v>96.534999999999997</v>
      </c>
      <c r="X87" s="14" t="str">
        <f t="shared" si="12"/>
        <v>IT516282=TT</v>
      </c>
      <c r="Y87" s="14"/>
      <c r="Z87" s="14"/>
      <c r="AA87" s="14"/>
      <c r="AB87" s="14"/>
      <c r="AC87" s="14"/>
      <c r="AD87" s="34">
        <f>IF(ISNUMBER($D87),_xll.xlBondYield($F87,$H87,$G87,$J87,$K87,$L87,$M87,$D87,$W87,IF(NOT($H87),TRUE,FALSE)),"")</f>
        <v>2.8977452069031417E-2</v>
      </c>
      <c r="AE87" s="12"/>
      <c r="AF87" s="12"/>
      <c r="AG87" s="12"/>
      <c r="AH87" s="14"/>
      <c r="AI87" s="14"/>
      <c r="AJ87" s="14"/>
      <c r="AK87" s="246">
        <f>IF(ISNUMBER($D87),_xll.xlBondAswSpread($F87&amp;T(TYPE($AV$1)),$H87,$G87,$J87,$K87,$L87,$M87,$D87,$W87,IF(NOT($H87),TRUE,FALSE),curveName,curveName,,,2),"")</f>
        <v>1.2963875478104898</v>
      </c>
      <c r="AL87" s="213">
        <f>IF($W87&gt;0,_xll.xlBondZSpread(F87&amp;T(TYPE($AV$1)),H87,G87,J87,K87,L87,M87,D87,U87,"annual",5,IF(NOT($H87),TRUE,FALSE),curveName)*100,"")</f>
        <v>140.31682559072013</v>
      </c>
      <c r="AM87" s="266">
        <f>(-IF($AL$9="",VLOOKUP(VLOOKUP(E87,'DB Basis'!$D$2:$H$65205,4,0),Bonds!$AR$1:$AS$6,2,0),$AL$9)*VLOOKUP(E87,'DB Basis'!$D$2:$E$65205,2,0))+IF(V87="",W87,V87)</f>
        <v>-117.47348000000002</v>
      </c>
      <c r="AN87" s="274" t="str">
        <f>IF($AN$9+(($AL$9-$AM$9))*('DB Basis'!F247/10-'DB Basis'!E247),," ")</f>
        <v xml:space="preserve"> </v>
      </c>
      <c r="AO87" s="639">
        <f>IF(U87&gt;0,_xll.xlShmImplSwap2(curveName&amp;T(TYPE($AV$1)),curveName,D87,G87,,1,8,2,4),"")</f>
        <v>1.5358979347569903E-2</v>
      </c>
      <c r="AP87" s="640">
        <f t="shared" si="13"/>
        <v>1.3618472721461513E-2</v>
      </c>
      <c r="AQ87" s="386">
        <f t="shared" si="14"/>
        <v>0.74649570042692881</v>
      </c>
      <c r="AR87" s="386">
        <f t="shared" si="15"/>
        <v>0.72899352335652501</v>
      </c>
      <c r="AS87" s="388"/>
      <c r="AT87" s="242">
        <f t="shared" si="16"/>
        <v>2.8580500670825506</v>
      </c>
      <c r="AU87" s="699" t="str">
        <f t="shared" si="10"/>
        <v>BTP  01-Mar-47  2.7</v>
      </c>
      <c r="AV87" s="703">
        <f t="shared" si="17"/>
        <v>-7.296823565359177E-4</v>
      </c>
      <c r="AW87" s="687"/>
      <c r="AX87" s="687"/>
      <c r="AY87" s="687"/>
      <c r="AZ87" s="687"/>
      <c r="BA87" s="687"/>
      <c r="BB87" s="689">
        <f>_xll.xlInterpKruger(_xll.ohFilter($G$11:$G$89,$BC$11:$BC$89),_xll.ohFilter($AD$11:$AD$89,$BC$11:$BC$89),$G87)</f>
        <v>2.9707134425567334E-2</v>
      </c>
      <c r="BC87" s="695" t="b">
        <v>0</v>
      </c>
      <c r="BE87" s="706">
        <f>_xll.xlDateShiftMonth(BE86,1)</f>
        <v>45501</v>
      </c>
      <c r="BF87" s="707">
        <v>1.2308466143180917E-2</v>
      </c>
      <c r="BU87" s="133" t="s">
        <v>599</v>
      </c>
      <c r="BV87" s="133" t="s">
        <v>599</v>
      </c>
      <c r="BW87" s="133" t="s">
        <v>599</v>
      </c>
      <c r="BX87" s="133" t="s">
        <v>599</v>
      </c>
      <c r="BY87" s="133" t="s">
        <v>599</v>
      </c>
      <c r="BZ87" s="133" t="s">
        <v>599</v>
      </c>
      <c r="CA87" s="133" t="s">
        <v>599</v>
      </c>
      <c r="CB87" s="133" t="s">
        <v>599</v>
      </c>
      <c r="CC87" s="133" t="s">
        <v>599</v>
      </c>
      <c r="CD87" s="133" t="s">
        <v>599</v>
      </c>
      <c r="CE87" s="133" t="s">
        <v>599</v>
      </c>
      <c r="CF87" s="133" t="s">
        <v>599</v>
      </c>
    </row>
    <row r="88" spans="1:84">
      <c r="A88" s="17"/>
      <c r="B88" s="16"/>
      <c r="C88" s="18"/>
      <c r="D88" s="720">
        <f>MAX(_xll.xlDateSettle("TARGET",$D$4,2),L88)</f>
        <v>43179</v>
      </c>
      <c r="E88" s="718" t="s">
        <v>1632</v>
      </c>
      <c r="F88" s="13" t="s">
        <v>1177</v>
      </c>
      <c r="G88" s="681">
        <v>54118</v>
      </c>
      <c r="H88" s="37">
        <v>3.45</v>
      </c>
      <c r="I88" s="11">
        <v>54118</v>
      </c>
      <c r="J88" s="11">
        <v>42795</v>
      </c>
      <c r="K88" s="11">
        <v>42979</v>
      </c>
      <c r="L88" s="11">
        <v>42900</v>
      </c>
      <c r="M88" s="12">
        <v>98.956000000000003</v>
      </c>
      <c r="N88" s="12" t="s">
        <v>1325</v>
      </c>
      <c r="O88" s="12" t="s">
        <v>1197</v>
      </c>
      <c r="P88" s="12" t="s">
        <v>1326</v>
      </c>
      <c r="Q88" s="15">
        <v>10463000000</v>
      </c>
      <c r="R88" s="12"/>
      <c r="S88" s="43">
        <f>_xll.RtGet("IDN",$X88,$S$9)</f>
        <v>109.41</v>
      </c>
      <c r="T88" s="43">
        <f>_xll.RtGet("IDN",$X88,$T$9)</f>
        <v>109.73</v>
      </c>
      <c r="U88" s="25">
        <f t="shared" si="18"/>
        <v>109.57</v>
      </c>
      <c r="V88" s="12"/>
      <c r="W88" s="25">
        <f t="shared" si="11"/>
        <v>109.57</v>
      </c>
      <c r="X88" s="14" t="str">
        <f t="shared" si="12"/>
        <v>IT527301=TT</v>
      </c>
      <c r="Y88" s="14"/>
      <c r="Z88" s="14"/>
      <c r="AA88" s="14"/>
      <c r="AB88" s="14"/>
      <c r="AC88" s="14"/>
      <c r="AD88" s="34">
        <f>IF(ISNUMBER($D88),_xll.xlBondYield($F88,$H88,$G88,$J88,$K88,$L88,$M88,$D88,$W88,IF(NOT($H88),TRUE,FALSE)),"")</f>
        <v>2.9872440056967452E-2</v>
      </c>
      <c r="AE88" s="12"/>
      <c r="AF88" s="12"/>
      <c r="AG88" s="12"/>
      <c r="AH88" s="14"/>
      <c r="AI88" s="14"/>
      <c r="AJ88" s="14"/>
      <c r="AK88" s="246">
        <f>IF(ISNUMBER($D88),_xll.xlBondAswSpread($F88&amp;T(TYPE($AV$1)),$H88,$G88,$J88,$K88,$L88,$M88,$D88,$W88,IF(NOT($H88),TRUE,FALSE),curveName,curveName,,,2),"")</f>
        <v>1.5069326186094452</v>
      </c>
      <c r="AL88" s="213">
        <f>IF($W88&gt;0,_xll.xlBondZSpread(F88&amp;T(TYPE($AV$1)),H88,G88,J88,K88,L88,M88,D88,U88,"annual",5,IF(NOT($H88),TRUE,FALSE),curveName)*100,"")</f>
        <v>150.70090595031959</v>
      </c>
      <c r="AM88" s="266">
        <f>(-IF($AL$9="",VLOOKUP(VLOOKUP(E88,'DB Basis'!$D$2:$H$65205,4,0),Bonds!$AR$1:$AS$6,2,0),$AL$9)*VLOOKUP(E88,'DB Basis'!$D$2:$E$65205,2,0))+IF(V88="",W88,V88)</f>
        <v>-125.18420000000003</v>
      </c>
      <c r="AN88" s="274" t="str">
        <f>IF($AN$9+(($AL$9-$AM$9))*('DB Basis'!F248/10-'DB Basis'!E248),," ")</f>
        <v xml:space="preserve"> </v>
      </c>
      <c r="AO88" s="639">
        <f>IF(U88&gt;0,_xll.xlShmImplSwap2(curveName&amp;T(TYPE($AV$1)),curveName,D88,G88,,1,8,2,4),"")</f>
        <v>1.5360937459332138E-2</v>
      </c>
      <c r="AP88" s="640">
        <f t="shared" si="13"/>
        <v>1.4511502597635314E-2</v>
      </c>
      <c r="AQ88" s="386">
        <f t="shared" si="14"/>
        <v>8.92542665564625</v>
      </c>
      <c r="AR88" s="386">
        <f t="shared" si="15"/>
        <v>8.9058990383452752</v>
      </c>
      <c r="AS88" s="388"/>
      <c r="AT88" s="242">
        <f t="shared" si="16"/>
        <v>2.9463228549337761</v>
      </c>
      <c r="AU88" s="700" t="str">
        <f t="shared" si="10"/>
        <v>BTP  01-Mar-48  3.45</v>
      </c>
      <c r="AV88" s="703">
        <f t="shared" si="17"/>
        <v>0</v>
      </c>
      <c r="AW88" s="684"/>
      <c r="AX88" s="684"/>
      <c r="AY88" s="684"/>
      <c r="AZ88" s="684"/>
      <c r="BA88" s="684"/>
      <c r="BB88" s="689">
        <f>_xll.xlInterpKruger(_xll.ohFilter($G$11:$G$89,$BC$11:$BC$89),_xll.ohFilter($AD$11:$AD$89,$BC$11:$BC$89),$G88)</f>
        <v>2.9872440056967452E-2</v>
      </c>
      <c r="BC88" s="695" t="b">
        <v>1</v>
      </c>
      <c r="BE88" s="706">
        <f>_xll.xlDateShiftMonth(BE87,1)</f>
        <v>45532</v>
      </c>
      <c r="BF88" s="707">
        <v>1.2564028772224496E-2</v>
      </c>
      <c r="BU88" s="133" t="s">
        <v>599</v>
      </c>
      <c r="BV88" s="133" t="s">
        <v>599</v>
      </c>
      <c r="BW88" s="133" t="s">
        <v>599</v>
      </c>
      <c r="BX88" s="133" t="s">
        <v>599</v>
      </c>
      <c r="BY88" s="133" t="s">
        <v>599</v>
      </c>
      <c r="BZ88" s="133" t="s">
        <v>599</v>
      </c>
      <c r="CA88" s="133" t="s">
        <v>599</v>
      </c>
      <c r="CB88" s="133" t="s">
        <v>599</v>
      </c>
      <c r="CC88" s="133" t="s">
        <v>599</v>
      </c>
      <c r="CD88" s="133" t="s">
        <v>599</v>
      </c>
      <c r="CE88" s="133" t="s">
        <v>599</v>
      </c>
      <c r="CF88" s="133" t="s">
        <v>599</v>
      </c>
    </row>
    <row r="89" spans="1:84">
      <c r="A89" s="10"/>
      <c r="B89" s="11"/>
      <c r="C89" s="12"/>
      <c r="D89" s="720">
        <f>MAX(_xll.xlDateSettle("TARGET",$D$4,2),L89)</f>
        <v>43179</v>
      </c>
      <c r="E89" s="718" t="s">
        <v>981</v>
      </c>
      <c r="F89" s="13" t="s">
        <v>1177</v>
      </c>
      <c r="G89" s="681">
        <v>61057</v>
      </c>
      <c r="H89" s="37">
        <v>2.8</v>
      </c>
      <c r="I89" s="11">
        <v>61057</v>
      </c>
      <c r="J89" s="11">
        <v>42614</v>
      </c>
      <c r="K89" s="11">
        <v>42795</v>
      </c>
      <c r="L89" s="11">
        <v>42654</v>
      </c>
      <c r="M89" s="12">
        <v>99.194000000000003</v>
      </c>
      <c r="N89" s="12" t="s">
        <v>1327</v>
      </c>
      <c r="O89" s="12" t="s">
        <v>1197</v>
      </c>
      <c r="P89" s="12" t="s">
        <v>1328</v>
      </c>
      <c r="Q89" s="15">
        <v>6633214000</v>
      </c>
      <c r="R89" s="12"/>
      <c r="S89" s="43">
        <f>_xll.RtGet("IDN",$X89,$S$9)</f>
        <v>91.75</v>
      </c>
      <c r="T89" s="43">
        <f>_xll.RtGet("IDN",$X89,$T$9)</f>
        <v>92</v>
      </c>
      <c r="U89" s="25">
        <f t="shared" si="18"/>
        <v>91.875</v>
      </c>
      <c r="V89" s="12"/>
      <c r="W89" s="25">
        <f t="shared" si="11"/>
        <v>91.875</v>
      </c>
      <c r="X89" s="14" t="str">
        <f t="shared" si="12"/>
        <v>IT521739=TT</v>
      </c>
      <c r="Y89" s="14"/>
      <c r="Z89" s="14"/>
      <c r="AA89" s="14"/>
      <c r="AB89" s="14"/>
      <c r="AC89" s="14"/>
      <c r="AD89" s="34">
        <f>IF(ISNUMBER($D89),_xll.xlBondYield($F89,$H89,$G89,$J89,$K89,$L89,$M89,$D89,$W89,IF(NOT($H89),TRUE,FALSE)),"")</f>
        <v>3.1494566051831027E-2</v>
      </c>
      <c r="AE89" s="12"/>
      <c r="AF89" s="12"/>
      <c r="AG89" s="12"/>
      <c r="AH89" s="14"/>
      <c r="AI89" s="14"/>
      <c r="AJ89" s="14"/>
      <c r="AK89" s="246">
        <f>IF(ISNUMBER($D89),_xll.xlBondAswSpread($F89&amp;T(TYPE($AV$1)),$H89,$G89,$J89,$K89,$L89,$M89,$D89,$W89,IF(NOT($H89),TRUE,FALSE),curveName,curveName,,,2),"")</f>
        <v>1.5325094536357566</v>
      </c>
      <c r="AL89" s="213">
        <f>IF($W89&gt;0,_xll.xlBondZSpread(F89&amp;T(TYPE($AV$1)),H89,G89,J89,K89,L89,M89,D89,U89,"annual",5,IF(NOT($H89),TRUE,FALSE),curveName)*100,"")</f>
        <v>168.91240341506364</v>
      </c>
      <c r="AM89" s="266">
        <f>(-IF($AL$9="",VLOOKUP(VLOOKUP(E89,'DB Basis'!$D$2:$H$65205,4,0),Bonds!$AR$1:$AS$6,2,0),$AL$9)*VLOOKUP(E89,'DB Basis'!$D$2:$E$65205,2,0))+IF(V89="",W89,V89)</f>
        <v>-170.85862500000002</v>
      </c>
      <c r="AN89" s="274" t="str">
        <f>IF($AN$9+(($AL$9-$AM$9))*('DB Basis'!F249/10-'DB Basis'!E249),," ")</f>
        <v xml:space="preserve"> </v>
      </c>
      <c r="AO89" s="639">
        <f>IF(U89&gt;0,_xll.xlShmImplSwap2(curveName&amp;T(TYPE($AV$1)),curveName,D89,G89,,1,8,2,4),"")</f>
        <v>1.4836338613322625E-2</v>
      </c>
      <c r="AP89" s="640">
        <f t="shared" si="13"/>
        <v>1.6658227438508401E-2</v>
      </c>
      <c r="AQ89" s="386">
        <f t="shared" si="14"/>
        <v>0.85325837746823041</v>
      </c>
      <c r="AR89" s="386">
        <f t="shared" si="15"/>
        <v>1.1292038721986983</v>
      </c>
      <c r="AS89" s="388"/>
      <c r="AT89" s="242">
        <f t="shared" si="16"/>
        <v>3.1063133640162111</v>
      </c>
      <c r="AU89" s="1000" t="str">
        <f t="shared" si="10"/>
        <v>BTP  01-Mar-67  2.8</v>
      </c>
      <c r="AV89" s="703">
        <f t="shared" si="17"/>
        <v>0</v>
      </c>
      <c r="AW89" s="684"/>
      <c r="AX89" s="684"/>
      <c r="AY89" s="684"/>
      <c r="AZ89" s="684"/>
      <c r="BA89" s="684"/>
      <c r="BB89" s="689">
        <f>_xll.xlInterpKruger(_xll.ohFilter($G$11:$G$89,$BC$11:$BC$89),_xll.ohFilter($AD$11:$AD$89,$BC$11:$BC$89),$G89)</f>
        <v>3.1494566051831027E-2</v>
      </c>
      <c r="BC89" s="695" t="b">
        <v>1</v>
      </c>
      <c r="BE89" s="706">
        <f>_xll.xlDateShiftMonth(BE88,1)</f>
        <v>45563</v>
      </c>
      <c r="BF89" s="707">
        <v>1.2812333784066127E-2</v>
      </c>
      <c r="BU89" s="133" t="s">
        <v>599</v>
      </c>
      <c r="BV89" s="133" t="s">
        <v>599</v>
      </c>
      <c r="BW89" s="133" t="s">
        <v>599</v>
      </c>
      <c r="BX89" s="133" t="s">
        <v>599</v>
      </c>
      <c r="BY89" s="133" t="s">
        <v>599</v>
      </c>
      <c r="BZ89" s="133" t="s">
        <v>599</v>
      </c>
      <c r="CA89" s="133" t="s">
        <v>599</v>
      </c>
      <c r="CB89" s="133" t="s">
        <v>599</v>
      </c>
      <c r="CC89" s="133" t="s">
        <v>599</v>
      </c>
      <c r="CD89" s="133" t="s">
        <v>599</v>
      </c>
      <c r="CE89" s="133" t="s">
        <v>599</v>
      </c>
      <c r="CF89" s="133" t="s">
        <v>599</v>
      </c>
    </row>
    <row r="90" spans="1:84">
      <c r="A90" s="17"/>
      <c r="B90" s="16"/>
      <c r="C90" s="18"/>
      <c r="D90" s="720">
        <f>MAX(_xll.xlDateSettle("TARGET",$D$4,2),L90)</f>
        <v>43179</v>
      </c>
      <c r="E90" s="718" t="s">
        <v>818</v>
      </c>
      <c r="F90" s="13" t="s">
        <v>1329</v>
      </c>
      <c r="G90" s="681">
        <v>43220</v>
      </c>
      <c r="H90" s="37">
        <v>0.25</v>
      </c>
      <c r="I90" s="11">
        <v>43220</v>
      </c>
      <c r="J90" s="11">
        <v>42150</v>
      </c>
      <c r="K90" s="11">
        <v>42490</v>
      </c>
      <c r="L90" s="11">
        <v>42150</v>
      </c>
      <c r="M90" s="12">
        <v>100.009</v>
      </c>
      <c r="N90" s="12" t="s">
        <v>1330</v>
      </c>
      <c r="O90" s="12" t="s">
        <v>1178</v>
      </c>
      <c r="P90" s="12" t="s">
        <v>1331</v>
      </c>
      <c r="Q90" s="15">
        <v>16824640000</v>
      </c>
      <c r="R90" s="12"/>
      <c r="S90" s="43">
        <f>_xll.RtGet("IDN",$X90,$S$9)</f>
        <v>100.08800000000001</v>
      </c>
      <c r="T90" s="43">
        <f>_xll.RtGet("IDN",$X90,$T$9)</f>
        <v>100.13</v>
      </c>
      <c r="U90" s="25">
        <f t="shared" si="18"/>
        <v>100.10900000000001</v>
      </c>
      <c r="V90" s="12"/>
      <c r="W90" s="25">
        <f t="shared" si="11"/>
        <v>100.10900000000001</v>
      </c>
      <c r="X90" s="14" t="str">
        <f t="shared" si="12"/>
        <v>ES0000127D=</v>
      </c>
      <c r="Y90" s="14"/>
      <c r="Z90" s="14"/>
      <c r="AA90" s="14"/>
      <c r="AB90" s="14"/>
      <c r="AC90" s="14"/>
      <c r="AD90" s="34">
        <f>IF(ISNUMBER($D90),_xll.xlBondYield($F90,$H90,$G90,$J90,$K90,$L90,$M90,$D90,$W90,IF(NOT($H90),TRUE,FALSE)),"")</f>
        <v>-7.1570612314749496E-3</v>
      </c>
      <c r="AE90" s="12"/>
      <c r="AF90" s="12"/>
      <c r="AG90" s="12"/>
      <c r="AH90" s="14"/>
      <c r="AI90" s="14"/>
      <c r="AJ90" s="14"/>
      <c r="AK90" s="246">
        <f>IF(ISNUMBER($D90),_xll.xlBondAswSpread($F90&amp;T(TYPE($AV$1)),$H90,$G90,$J90,$K90,$L90,$M90,$D90,$W90,IF(NOT($H90),TRUE,FALSE),curveName,curveName,,,2),"")</f>
        <v>-0.34820523445913087</v>
      </c>
      <c r="AL90" s="213">
        <f>IF($W90&gt;0,_xll.xlBondZSpread(F90&amp;T(TYPE($AV$1)),H90,G90,J90,K90,L90,M90,D90,U90,"annual",5,IF(NOT($H90),TRUE,FALSE),curveName)*100,"")</f>
        <v>-35.118672125993918</v>
      </c>
      <c r="AM90" s="266" t="e">
        <f>(-IF($AL$9="",VLOOKUP(VLOOKUP(E90,'DB Basis'!$D$2:$H$65205,4,0),Bonds!$AR$1:$AS$6,2,0),$AL$9)*VLOOKUP(E90,'DB Basis'!$D$2:$E$65205,2,0))+IF(V90="",W90,V90)</f>
        <v>#N/A</v>
      </c>
      <c r="AN90" s="274" t="str">
        <f>IF($AN$9+(($AL$9-$AM$9))*('DB Basis'!F250/10-'DB Basis'!E250),," ")</f>
        <v xml:space="preserve"> </v>
      </c>
      <c r="AO90" s="639">
        <f>IF(U90&gt;0,_xll.xlShmImplSwap2(curveName&amp;T(TYPE($AV$1)),curveName,D90,G90,,1,8,2,4),"")</f>
        <v>-3.6911171362746797E-3</v>
      </c>
      <c r="AP90" s="640">
        <f t="shared" si="13"/>
        <v>-3.4659440952002699E-3</v>
      </c>
      <c r="AQ90" s="386">
        <f t="shared" si="14"/>
        <v>7.9093143232643834</v>
      </c>
      <c r="AR90" s="386">
        <f t="shared" si="15"/>
        <v>4.1180257945863454</v>
      </c>
      <c r="AS90" s="388"/>
      <c r="AT90" s="242">
        <f t="shared" si="16"/>
        <v>-0.7059019296797211</v>
      </c>
      <c r="AU90" s="686" t="str">
        <f t="shared" si="10"/>
        <v>SPGB  30-Apr-18  0.25</v>
      </c>
      <c r="AV90" s="702"/>
      <c r="AW90" s="684"/>
      <c r="AX90" s="684"/>
      <c r="AY90" s="684"/>
      <c r="AZ90" s="684"/>
      <c r="BA90" s="684"/>
      <c r="BB90" s="682"/>
      <c r="BC90" s="696"/>
      <c r="BE90" s="706">
        <f>_xll.xlDateShiftMonth(BE89,1)</f>
        <v>45593</v>
      </c>
      <c r="BF90" s="707">
        <v>1.3052581379011573E-2</v>
      </c>
      <c r="BU90" s="133" t="s">
        <v>599</v>
      </c>
      <c r="BV90" s="133" t="s">
        <v>599</v>
      </c>
      <c r="BW90" s="133" t="s">
        <v>599</v>
      </c>
      <c r="BX90" s="133" t="s">
        <v>599</v>
      </c>
      <c r="BY90" s="133" t="s">
        <v>599</v>
      </c>
      <c r="BZ90" s="133" t="s">
        <v>599</v>
      </c>
      <c r="CA90" s="133" t="s">
        <v>599</v>
      </c>
      <c r="CB90" s="133" t="s">
        <v>599</v>
      </c>
      <c r="CC90" s="133" t="s">
        <v>599</v>
      </c>
      <c r="CD90" s="133" t="s">
        <v>599</v>
      </c>
      <c r="CE90" s="133" t="s">
        <v>599</v>
      </c>
      <c r="CF90" s="133" t="s">
        <v>599</v>
      </c>
    </row>
    <row r="91" spans="1:84">
      <c r="A91" s="10"/>
      <c r="B91" s="11"/>
      <c r="C91" s="12"/>
      <c r="D91" s="720">
        <f>MAX(_xll.xlDateSettle("TARGET",$D$4,2),L91)</f>
        <v>43179</v>
      </c>
      <c r="E91" s="718" t="s">
        <v>803</v>
      </c>
      <c r="F91" s="13" t="s">
        <v>1329</v>
      </c>
      <c r="G91" s="681">
        <v>43311</v>
      </c>
      <c r="H91" s="37">
        <v>4.0999999999999996</v>
      </c>
      <c r="I91" s="11">
        <v>43311</v>
      </c>
      <c r="J91" s="11">
        <v>39497</v>
      </c>
      <c r="K91" s="11">
        <v>39659</v>
      </c>
      <c r="L91" s="11">
        <v>39497</v>
      </c>
      <c r="M91" s="12">
        <v>99.213999999999999</v>
      </c>
      <c r="N91" s="12" t="s">
        <v>1332</v>
      </c>
      <c r="O91" s="12" t="s">
        <v>1178</v>
      </c>
      <c r="P91" s="12" t="s">
        <v>1333</v>
      </c>
      <c r="Q91" s="15">
        <v>20813437000</v>
      </c>
      <c r="R91" s="12"/>
      <c r="S91" s="43">
        <f>_xll.RtGet("IDN",$X91,$S$9)</f>
        <v>101.654</v>
      </c>
      <c r="T91" s="43">
        <f>_xll.RtGet("IDN",$X91,$T$9)</f>
        <v>101.67</v>
      </c>
      <c r="U91" s="25">
        <f t="shared" si="18"/>
        <v>101.66200000000001</v>
      </c>
      <c r="V91" s="12"/>
      <c r="W91" s="25">
        <f t="shared" si="11"/>
        <v>101.66200000000001</v>
      </c>
      <c r="X91" s="14" t="str">
        <f t="shared" si="12"/>
        <v>ES0000121A=</v>
      </c>
      <c r="Y91" s="14"/>
      <c r="Z91" s="14"/>
      <c r="AA91" s="14"/>
      <c r="AB91" s="14"/>
      <c r="AC91" s="14"/>
      <c r="AD91" s="34">
        <f>IF(ISNUMBER($D91),_xll.xlBondYield($F91,$H91,$G91,$J91,$K91,$L91,$M91,$D91,$W91,IF(NOT($H91),TRUE,FALSE)),"")</f>
        <v>-4.7461988737762528E-3</v>
      </c>
      <c r="AE91" s="12"/>
      <c r="AF91" s="12"/>
      <c r="AG91" s="12"/>
      <c r="AH91" s="14"/>
      <c r="AI91" s="14"/>
      <c r="AJ91" s="14"/>
      <c r="AK91" s="246">
        <f>IF(ISNUMBER($D91),_xll.xlBondAswSpread($F91&amp;T(TYPE($AV$1)),$H91,$G91,$J91,$K91,$L91,$M91,$D91,$W91,IF(NOT($H91),TRUE,FALSE),curveName,curveName,,,2),"")</f>
        <v>-0.17216192693101171</v>
      </c>
      <c r="AL91" s="213">
        <f>IF($W91&gt;0,_xll.xlBondZSpread(F91&amp;T(TYPE($AV$1)),H91,G91,J91,K91,L91,M91,D91,U91,"annual",5,IF(NOT($H91),TRUE,FALSE),curveName)*100,"")</f>
        <v>-16.716246941687132</v>
      </c>
      <c r="AM91" s="266" t="e">
        <f>(-IF($AL$9="",VLOOKUP(VLOOKUP(E91,'DB Basis'!$D$2:$H$65205,4,0),Bonds!$AR$1:$AS$6,2,0),$AL$9)*VLOOKUP(E91,'DB Basis'!$D$2:$E$65205,2,0))+IF(V91="",W91,V91)</f>
        <v>#N/A</v>
      </c>
      <c r="AN91" s="274" t="str">
        <f>IF($AN$9+(($AL$9-$AM$9))*('DB Basis'!F251/10-'DB Basis'!E251),," ")</f>
        <v xml:space="preserve"> </v>
      </c>
      <c r="AO91" s="639">
        <f>IF(U91&gt;0,_xll.xlShmImplSwap2(curveName&amp;T(TYPE($AV$1)),curveName,D91,G91,,1,8,2,4),"")</f>
        <v>-3.0821366476863577E-3</v>
      </c>
      <c r="AP91" s="640">
        <f t="shared" si="13"/>
        <v>-1.6640622260898951E-3</v>
      </c>
      <c r="AQ91" s="386">
        <f t="shared" si="14"/>
        <v>96.699424237365307</v>
      </c>
      <c r="AR91" s="386">
        <f t="shared" si="15"/>
        <v>72.273283761020522</v>
      </c>
      <c r="AS91" s="388"/>
      <c r="AT91" s="242">
        <f t="shared" si="16"/>
        <v>-0.46811824508478111</v>
      </c>
      <c r="AU91" s="686" t="str">
        <f t="shared" si="10"/>
        <v>SPGB  30-Jul-18  4.1</v>
      </c>
      <c r="AV91" s="702"/>
      <c r="AW91" s="684"/>
      <c r="AX91" s="684"/>
      <c r="AY91" s="684"/>
      <c r="AZ91" s="684"/>
      <c r="BA91" s="684"/>
      <c r="BB91" s="682"/>
      <c r="BC91" s="696"/>
      <c r="BE91" s="706">
        <f>_xll.xlDateShiftMonth(BE90,1)</f>
        <v>45624</v>
      </c>
      <c r="BF91" s="707">
        <v>1.3298892595510972E-2</v>
      </c>
      <c r="BU91" s="133" t="s">
        <v>599</v>
      </c>
      <c r="BV91" s="133" t="s">
        <v>599</v>
      </c>
      <c r="BW91" s="133" t="s">
        <v>599</v>
      </c>
      <c r="BX91" s="133" t="s">
        <v>599</v>
      </c>
      <c r="BY91" s="133" t="s">
        <v>599</v>
      </c>
      <c r="BZ91" s="133" t="s">
        <v>599</v>
      </c>
      <c r="CA91" s="133" t="s">
        <v>599</v>
      </c>
      <c r="CB91" s="133" t="s">
        <v>599</v>
      </c>
      <c r="CC91" s="133" t="s">
        <v>599</v>
      </c>
      <c r="CD91" s="133" t="s">
        <v>599</v>
      </c>
      <c r="CE91" s="133" t="s">
        <v>599</v>
      </c>
      <c r="CF91" s="133" t="s">
        <v>599</v>
      </c>
    </row>
    <row r="92" spans="1:84">
      <c r="A92" s="17"/>
      <c r="B92" s="16"/>
      <c r="C92" s="18"/>
      <c r="D92" s="720">
        <f>MAX(_xll.xlDateSettle("TARGET",$D$4,2),L92)</f>
        <v>43179</v>
      </c>
      <c r="E92" s="718" t="s">
        <v>810</v>
      </c>
      <c r="F92" s="13" t="s">
        <v>1329</v>
      </c>
      <c r="G92" s="681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1335</v>
      </c>
      <c r="O92" s="12" t="s">
        <v>1178</v>
      </c>
      <c r="P92" s="12" t="s">
        <v>1336</v>
      </c>
      <c r="Q92" s="15">
        <v>20417528000</v>
      </c>
      <c r="R92" s="12"/>
      <c r="S92" s="43">
        <f>_xll.RtGet("IDN",$X92,$S$9)</f>
        <v>102.523</v>
      </c>
      <c r="T92" s="43">
        <f>_xll.RtGet("IDN",$X92,$T$9)</f>
        <v>102.709</v>
      </c>
      <c r="U92" s="25">
        <f t="shared" si="18"/>
        <v>102.616</v>
      </c>
      <c r="V92" s="12"/>
      <c r="W92" s="25">
        <f t="shared" si="11"/>
        <v>102.616</v>
      </c>
      <c r="X92" s="14" t="str">
        <f t="shared" si="12"/>
        <v>ES0000124B=</v>
      </c>
      <c r="Y92" s="14"/>
      <c r="Z92" s="14"/>
      <c r="AA92" s="14"/>
      <c r="AB92" s="14"/>
      <c r="AC92" s="14"/>
      <c r="AD92" s="34">
        <f>IF(ISNUMBER($D92),_xll.xlBondYield($F92,$H92,$G92,$J92,$K92,$L92,$M92,$D92,$W92,IF(NOT($H92),TRUE,FALSE)),"")</f>
        <v>-4.7406364586919311E-3</v>
      </c>
      <c r="AE92" s="12"/>
      <c r="AF92" s="12"/>
      <c r="AG92" s="12"/>
      <c r="AH92" s="14"/>
      <c r="AI92" s="14"/>
      <c r="AJ92" s="14"/>
      <c r="AK92" s="246">
        <f>IF(ISNUMBER($D92),_xll.xlBondAswSpread($F92&amp;T(TYPE($AV$1)),$H92,$G92,$J92,$K92,$L92,$M92,$D92,$W92,IF(NOT($H92),TRUE,FALSE),curveName,curveName,,,2),"")</f>
        <v>-0.23319053820861524</v>
      </c>
      <c r="AL92" s="213">
        <f>IF($W92&gt;0,_xll.xlBondZSpread(F92&amp;T(TYPE($AV$1)),H92,G92,J92,K92,L92,M92,D92,U92,"annual",5,IF(NOT($H92),TRUE,FALSE),curveName)*100,"")</f>
        <v>-22.700359181984105</v>
      </c>
      <c r="AM92" s="266" t="e">
        <f>(-IF($AL$9="",VLOOKUP(VLOOKUP(E92,'DB Basis'!$D$2:$H$65205,4,0),Bonds!$AR$1:$AS$6,2,0),$AL$9)*VLOOKUP(E92,'DB Basis'!$D$2:$E$65205,2,0))+IF(V92="",W92,V92)</f>
        <v>#N/A</v>
      </c>
      <c r="AN92" s="274" t="str">
        <f>IF($AN$9+(($AL$9-$AM$9))*('DB Basis'!F252/10-'DB Basis'!E252),," ")</f>
        <v xml:space="preserve"> </v>
      </c>
      <c r="AO92" s="639">
        <f>IF(U92&gt;0,_xll.xlShmImplSwap2(curveName&amp;T(TYPE($AV$1)),curveName,D92,G92,,1,8,2,4),"")</f>
        <v>-2.4878904928037869E-3</v>
      </c>
      <c r="AP92" s="640">
        <f t="shared" si="13"/>
        <v>-2.2527459658881442E-3</v>
      </c>
      <c r="AQ92" s="386">
        <f t="shared" si="14"/>
        <v>0.21830983933090556</v>
      </c>
      <c r="AR92" s="386">
        <f t="shared" si="15"/>
        <v>-23.104254303909777</v>
      </c>
      <c r="AS92" s="388"/>
      <c r="AT92" s="242">
        <f t="shared" si="16"/>
        <v>-0.46756962332303975</v>
      </c>
      <c r="AU92" s="686" t="str">
        <f t="shared" si="10"/>
        <v>SPGB  31-Oct-18  3.75</v>
      </c>
      <c r="AV92" s="702"/>
      <c r="AW92" s="684"/>
      <c r="AX92" s="684"/>
      <c r="AY92" s="684"/>
      <c r="AZ92" s="684"/>
      <c r="BA92" s="684"/>
      <c r="BB92" s="682"/>
      <c r="BC92" s="696"/>
      <c r="BE92" s="706">
        <f>_xll.xlDateShiftMonth(BE91,1)</f>
        <v>45654</v>
      </c>
      <c r="BF92" s="707">
        <v>1.3533439527275745E-2</v>
      </c>
      <c r="BU92" s="133" t="s">
        <v>599</v>
      </c>
      <c r="BV92" s="133" t="s">
        <v>599</v>
      </c>
      <c r="BW92" s="133" t="s">
        <v>599</v>
      </c>
      <c r="BX92" s="133" t="s">
        <v>599</v>
      </c>
      <c r="BY92" s="133" t="s">
        <v>599</v>
      </c>
      <c r="BZ92" s="133" t="s">
        <v>599</v>
      </c>
      <c r="CA92" s="133" t="s">
        <v>599</v>
      </c>
      <c r="CB92" s="133" t="s">
        <v>599</v>
      </c>
      <c r="CC92" s="133" t="s">
        <v>599</v>
      </c>
      <c r="CD92" s="133" t="s">
        <v>599</v>
      </c>
      <c r="CE92" s="133" t="s">
        <v>599</v>
      </c>
      <c r="CF92" s="133" t="s">
        <v>599</v>
      </c>
    </row>
    <row r="93" spans="1:84">
      <c r="A93" s="10"/>
      <c r="B93" s="11"/>
      <c r="C93" s="12"/>
      <c r="D93" s="720">
        <f>MAX(_xll.xlDateSettle("TARGET",$D$4,2),L93)</f>
        <v>43179</v>
      </c>
      <c r="E93" s="718" t="s">
        <v>828</v>
      </c>
      <c r="F93" s="13" t="s">
        <v>599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1337</v>
      </c>
      <c r="O93" s="12" t="s">
        <v>1178</v>
      </c>
      <c r="P93" s="12" t="s">
        <v>1338</v>
      </c>
      <c r="Q93" s="15">
        <v>18138900000</v>
      </c>
      <c r="R93" s="12"/>
      <c r="S93" s="43">
        <f>_xll.RtGet("IDN",$X93,$S$9)</f>
        <v>100.548</v>
      </c>
      <c r="T93" s="43">
        <f>_xll.RtGet("IDN",$X93,$T$9)</f>
        <v>100.628</v>
      </c>
      <c r="U93" s="25">
        <f t="shared" si="18"/>
        <v>100.58799999999999</v>
      </c>
      <c r="V93" s="12"/>
      <c r="W93" s="25">
        <f t="shared" si="11"/>
        <v>100.58799999999999</v>
      </c>
      <c r="X93" s="14" t="str">
        <f t="shared" si="12"/>
        <v>ES0000128A=</v>
      </c>
      <c r="Y93" s="14"/>
      <c r="Z93" s="14"/>
      <c r="AA93" s="14"/>
      <c r="AB93" s="14"/>
      <c r="AC93" s="14"/>
      <c r="AD93" s="34" t="str">
        <f>IF(ISNUMBER($D93),_xll.xlBondYield($F93,$H93,$G93,$J93,$K93,$L93,$M93,$D93,$W93,IF(NOT($H93),TRUE,FALSE)),"")</f>
        <v>#Error in BondConventionManager::Instance(), Bond convention not found</v>
      </c>
      <c r="AE93" s="12"/>
      <c r="AF93" s="12"/>
      <c r="AG93" s="12"/>
      <c r="AH93" s="14"/>
      <c r="AI93" s="14"/>
      <c r="AJ93" s="14"/>
      <c r="AK93" s="246" t="str">
        <f>IF(ISNUMBER($D93),_xll.xlBondAswSpread($F93&amp;T(TYPE($AV$1)),$H93,$G93,$J93,$K93,$L93,$M93,$D93,$W93,IF(NOT($H93),TRUE,FALSE),curveName,curveName,,,2),"")</f>
        <v>Bond name not found in Bond Convention Manager</v>
      </c>
      <c r="AL93" s="213" t="e">
        <f>IF($W93&gt;0,_xll.xlBondZSpread(F93&amp;T(TYPE($AV$1)),H93,G93,J93,K93,L93,M93,D93,U93,"annual",5,IF(NOT($H93),TRUE,FALSE),curveName)*100,"")</f>
        <v>#VALUE!</v>
      </c>
      <c r="AM93" s="266" t="e">
        <f>(-IF($AL$9="",VLOOKUP(VLOOKUP(E93,'DB Basis'!$D$2:$H$65205,4,0),Bonds!$AR$1:$AS$6,2,0),$AL$9)*VLOOKUP(E93,'DB Basis'!$D$2:$E$65205,2,0))+IF(V93="",W93,V93)</f>
        <v>#N/A</v>
      </c>
      <c r="AN93" s="274" t="str">
        <f>IF($AN$9+(($AL$9-$AM$9))*('DB Basis'!F253/10-'DB Basis'!E253),," ")</f>
        <v xml:space="preserve"> </v>
      </c>
      <c r="AO93" s="639">
        <f>IF(U93&gt;0,_xll.xlShmImplSwap2(curveName&amp;T(TYPE($AV$1)),curveName,D93,G93,,1,8,2,4),"")</f>
        <v>-2.3332929146947599E-3</v>
      </c>
      <c r="AP93" s="640" t="str">
        <f t="shared" si="13"/>
        <v>-</v>
      </c>
      <c r="AQ93" s="386" t="str">
        <f t="shared" si="14"/>
        <v>-</v>
      </c>
      <c r="AR93" s="386" t="str">
        <f t="shared" si="15"/>
        <v>-</v>
      </c>
      <c r="AS93" s="388"/>
      <c r="AT93" s="242" t="str">
        <f t="shared" si="16"/>
        <v>-</v>
      </c>
      <c r="AU93" s="686" t="str">
        <f t="shared" si="10"/>
        <v xml:space="preserve">  31-Jan-19  0.25</v>
      </c>
      <c r="AV93" s="702"/>
      <c r="AW93" s="684"/>
      <c r="AX93" s="684"/>
      <c r="AY93" s="684"/>
      <c r="AZ93" s="684"/>
      <c r="BA93" s="684"/>
      <c r="BB93" s="682"/>
      <c r="BC93" s="696"/>
      <c r="BE93" s="706">
        <f>_xll.xlDateShiftMonth(BE92,1)</f>
        <v>45685</v>
      </c>
      <c r="BF93" s="707">
        <v>1.3769835220709577E-2</v>
      </c>
      <c r="BU93" s="133" t="s">
        <v>599</v>
      </c>
      <c r="BV93" s="133" t="s">
        <v>599</v>
      </c>
      <c r="BW93" s="133" t="s">
        <v>599</v>
      </c>
      <c r="BX93" s="133" t="s">
        <v>599</v>
      </c>
      <c r="BY93" s="133" t="s">
        <v>599</v>
      </c>
      <c r="BZ93" s="133" t="s">
        <v>599</v>
      </c>
      <c r="CA93" s="133" t="s">
        <v>599</v>
      </c>
      <c r="CB93" s="133" t="s">
        <v>599</v>
      </c>
      <c r="CC93" s="133" t="s">
        <v>599</v>
      </c>
      <c r="CD93" s="133" t="s">
        <v>599</v>
      </c>
      <c r="CE93" s="133" t="s">
        <v>599</v>
      </c>
      <c r="CF93" s="133" t="s">
        <v>599</v>
      </c>
    </row>
    <row r="94" spans="1:84">
      <c r="A94" s="17"/>
      <c r="B94" s="16"/>
      <c r="C94" s="18"/>
      <c r="D94" s="720">
        <f>MAX(_xll.xlDateSettle("TARGET",$D$4,2),L94)</f>
        <v>43179</v>
      </c>
      <c r="E94" s="718" t="s">
        <v>812</v>
      </c>
      <c r="F94" s="13" t="s">
        <v>1329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1339</v>
      </c>
      <c r="O94" s="12" t="s">
        <v>1178</v>
      </c>
      <c r="P94" s="12" t="s">
        <v>1340</v>
      </c>
      <c r="Q94" s="15">
        <v>22405132000</v>
      </c>
      <c r="R94" s="12"/>
      <c r="S94" s="43">
        <f>_xll.RtGet("IDN",$X94,$S$9)</f>
        <v>103.444</v>
      </c>
      <c r="T94" s="43">
        <f>_xll.RtGet("IDN",$X94,$T$9)</f>
        <v>103.604</v>
      </c>
      <c r="U94" s="25">
        <f t="shared" si="18"/>
        <v>103.524</v>
      </c>
      <c r="V94" s="12"/>
      <c r="W94" s="25">
        <f t="shared" si="11"/>
        <v>103.524</v>
      </c>
      <c r="X94" s="14" t="str">
        <f t="shared" si="12"/>
        <v>ES0000124V=</v>
      </c>
      <c r="Y94" s="14"/>
      <c r="Z94" s="14"/>
      <c r="AA94" s="14"/>
      <c r="AB94" s="14"/>
      <c r="AC94" s="14"/>
      <c r="AD94" s="34">
        <f>IF(ISNUMBER($D94),_xll.xlBondYield($F94,$H94,$G94,$J94,$K94,$L94,$M94,$D94,$W94,IF(NOT($H94),TRUE,FALSE)),"")</f>
        <v>-4.0411058995839869E-3</v>
      </c>
      <c r="AE94" s="12"/>
      <c r="AF94" s="12"/>
      <c r="AG94" s="12"/>
      <c r="AH94" s="14"/>
      <c r="AI94" s="14"/>
      <c r="AJ94" s="14"/>
      <c r="AK94" s="246">
        <f>IF(ISNUMBER($D94),_xll.xlBondAswSpread($F94&amp;T(TYPE($AV$1)),$H94,$G94,$J94,$K94,$L94,$M94,$D94,$W94,IF(NOT($H94),TRUE,FALSE),curveName,curveName,,,2),"")</f>
        <v>-0.16465983236969486</v>
      </c>
      <c r="AL94" s="213">
        <f>IF($W94&gt;0,_xll.xlBondZSpread(F94&amp;T(TYPE($AV$1)),H94,G94,J94,K94,L94,M94,D94,U94,"annual",5,IF(NOT($H94),TRUE,FALSE),curveName)*100,"")</f>
        <v>-16.132188462244816</v>
      </c>
      <c r="AM94" s="266" t="e">
        <f>(-IF($AL$9="",VLOOKUP(VLOOKUP(E94,'DB Basis'!$D$2:$H$65205,4,0),Bonds!$AR$1:$AS$6,2,0),$AL$9)*VLOOKUP(E94,'DB Basis'!$D$2:$E$65205,2,0))+IF(V94="",W94,V94)</f>
        <v>#N/A</v>
      </c>
      <c r="AN94" s="274" t="str">
        <f>IF($AN$9+(($AL$9-$AM$9))*('DB Basis'!F254/10-'DB Basis'!E254),," ")</f>
        <v xml:space="preserve"> </v>
      </c>
      <c r="AO94" s="639">
        <f>IF(U94&gt;0,_xll.xlShmImplSwap2(curveName&amp;T(TYPE($AV$1)),curveName,D94,G94,,1,8,2,4),"")</f>
        <v>-2.4274896229012355E-3</v>
      </c>
      <c r="AP94" s="640">
        <f t="shared" si="13"/>
        <v>-1.6136162766827514E-3</v>
      </c>
      <c r="AQ94" s="386" t="str">
        <f t="shared" si="14"/>
        <v>-</v>
      </c>
      <c r="AR94" s="386" t="str">
        <f t="shared" si="15"/>
        <v>-</v>
      </c>
      <c r="AS94" s="388"/>
      <c r="AT94" s="242">
        <f t="shared" si="16"/>
        <v>-0.39857482845211922</v>
      </c>
      <c r="AU94" s="686" t="str">
        <f t="shared" si="10"/>
        <v>SPGB  30-Apr-19  2.75</v>
      </c>
      <c r="AV94" s="702"/>
      <c r="AW94" s="684"/>
      <c r="AX94" s="684"/>
      <c r="AY94" s="684"/>
      <c r="AZ94" s="684"/>
      <c r="BA94" s="684"/>
      <c r="BB94" s="682"/>
      <c r="BC94" s="696"/>
      <c r="BE94" s="706">
        <f>_xll.xlDateShiftMonth(BE93,1)</f>
        <v>45716</v>
      </c>
      <c r="BF94" s="707">
        <v>1.3998106998136329E-2</v>
      </c>
      <c r="BU94" s="133" t="s">
        <v>599</v>
      </c>
      <c r="BV94" s="133" t="s">
        <v>599</v>
      </c>
      <c r="BW94" s="133" t="s">
        <v>599</v>
      </c>
      <c r="BX94" s="133" t="s">
        <v>599</v>
      </c>
      <c r="BY94" s="133" t="s">
        <v>599</v>
      </c>
      <c r="BZ94" s="133" t="s">
        <v>599</v>
      </c>
      <c r="CA94" s="133" t="s">
        <v>599</v>
      </c>
      <c r="CB94" s="133" t="s">
        <v>599</v>
      </c>
      <c r="CC94" s="133" t="s">
        <v>599</v>
      </c>
      <c r="CD94" s="133" t="s">
        <v>599</v>
      </c>
      <c r="CE94" s="133" t="s">
        <v>599</v>
      </c>
      <c r="CF94" s="133" t="s">
        <v>599</v>
      </c>
    </row>
    <row r="95" spans="1:84">
      <c r="A95" s="10"/>
      <c r="B95" s="11"/>
      <c r="C95" s="12"/>
      <c r="D95" s="720">
        <f>MAX(_xll.xlDateSettle("TARGET",$D$4,2),L95)</f>
        <v>43179</v>
      </c>
      <c r="E95" s="718" t="s">
        <v>829</v>
      </c>
      <c r="F95" s="13" t="s">
        <v>1329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1341</v>
      </c>
      <c r="O95" s="12" t="s">
        <v>1178</v>
      </c>
      <c r="P95" s="12" t="s">
        <v>1342</v>
      </c>
      <c r="Q95" s="15">
        <v>20758373000</v>
      </c>
      <c r="R95" s="12"/>
      <c r="S95" s="43">
        <f>_xll.RtGet("IDN",$X95,$S$9)</f>
        <v>106.745</v>
      </c>
      <c r="T95" s="43">
        <f>_xll.RtGet("IDN",$X95,$T$9)</f>
        <v>106.79600000000001</v>
      </c>
      <c r="U95" s="25">
        <f t="shared" si="18"/>
        <v>106.7705</v>
      </c>
      <c r="V95" s="12"/>
      <c r="W95" s="25">
        <f t="shared" si="11"/>
        <v>106.7705</v>
      </c>
      <c r="X95" s="14" t="str">
        <f t="shared" si="12"/>
        <v>ES0000121L=</v>
      </c>
      <c r="Y95" s="14"/>
      <c r="Z95" s="14"/>
      <c r="AA95" s="14"/>
      <c r="AB95" s="14"/>
      <c r="AC95" s="14"/>
      <c r="AD95" s="34">
        <f>IF(ISNUMBER($D95),_xll.xlBondYield($F95,$H95,$G95,$J95,$K95,$L95,$M95,$D95,$W95,IF(NOT($H95),TRUE,FALSE)),"")</f>
        <v>-3.5036881377808193E-3</v>
      </c>
      <c r="AE95" s="12"/>
      <c r="AF95" s="12"/>
      <c r="AG95" s="12"/>
      <c r="AH95" s="14"/>
      <c r="AI95" s="14"/>
      <c r="AJ95" s="14"/>
      <c r="AK95" s="246">
        <f>IF(ISNUMBER($D95),_xll.xlBondAswSpread($F95&amp;T(TYPE($AV$1)),$H95,$G95,$J95,$K95,$L95,$M95,$D95,$W95,IF(NOT($H95),TRUE,FALSE),curveName,curveName,,,2),"")</f>
        <v>-0.11742699624089246</v>
      </c>
      <c r="AL95" s="213">
        <f>IF($W95&gt;0,_xll.xlBondZSpread(F95&amp;T(TYPE($AV$1)),H95,G95,J95,K95,L95,M95,D95,U95,"annual",5,IF(NOT($H95),TRUE,FALSE),curveName)*100,"")</f>
        <v>-11.202436978797776</v>
      </c>
      <c r="AM95" s="266" t="e">
        <f>(-IF($AL$9="",VLOOKUP(VLOOKUP(E95,'DB Basis'!$D$2:$H$65205,4,0),Bonds!$AR$1:$AS$6,2,0),$AL$9)*VLOOKUP(E95,'DB Basis'!$D$2:$E$65205,2,0))+IF(V95="",W95,V95)</f>
        <v>#N/A</v>
      </c>
      <c r="AN95" s="274" t="str">
        <f>IF($AN$9+(($AL$9-$AM$9))*('DB Basis'!F255/10-'DB Basis'!E255),," ")</f>
        <v xml:space="preserve"> </v>
      </c>
      <c r="AO95" s="639">
        <f>IF(U95&gt;0,_xll.xlShmImplSwap2(curveName&amp;T(TYPE($AV$1)),curveName,D95,G95,,1,8,2,4),"")</f>
        <v>-2.376643212627511E-3</v>
      </c>
      <c r="AP95" s="640">
        <f t="shared" si="13"/>
        <v>-1.1270449251533084E-3</v>
      </c>
      <c r="AQ95" s="386">
        <f t="shared" si="14"/>
        <v>21.55576736902815</v>
      </c>
      <c r="AR95" s="386">
        <f t="shared" si="15"/>
        <v>19.516323440466671</v>
      </c>
      <c r="AS95" s="388"/>
      <c r="AT95" s="242">
        <f t="shared" si="16"/>
        <v>-0.34556924098660136</v>
      </c>
      <c r="AU95" s="686" t="str">
        <f t="shared" si="10"/>
        <v>SPGB  30-Jul-19  4.6</v>
      </c>
      <c r="AV95" s="702"/>
      <c r="AW95" s="684"/>
      <c r="AX95" s="684"/>
      <c r="AY95" s="684"/>
      <c r="AZ95" s="684"/>
      <c r="BA95" s="684"/>
      <c r="BB95" s="682"/>
      <c r="BC95" s="696"/>
      <c r="BE95" s="706">
        <f>_xll.xlDateShiftMonth(BE94,1)</f>
        <v>45744</v>
      </c>
      <c r="BF95" s="707">
        <v>1.4195576027174165E-2</v>
      </c>
      <c r="BU95" s="133" t="s">
        <v>599</v>
      </c>
      <c r="BV95" s="133" t="s">
        <v>599</v>
      </c>
      <c r="BW95" s="133" t="s">
        <v>599</v>
      </c>
      <c r="BX95" s="133" t="s">
        <v>599</v>
      </c>
      <c r="BY95" s="133" t="s">
        <v>599</v>
      </c>
      <c r="BZ95" s="133" t="s">
        <v>599</v>
      </c>
      <c r="CA95" s="133" t="s">
        <v>599</v>
      </c>
      <c r="CB95" s="133" t="s">
        <v>599</v>
      </c>
      <c r="CC95" s="133" t="s">
        <v>599</v>
      </c>
      <c r="CD95" s="133" t="s">
        <v>599</v>
      </c>
      <c r="CE95" s="133" t="s">
        <v>599</v>
      </c>
      <c r="CF95" s="133" t="s">
        <v>599</v>
      </c>
    </row>
    <row r="96" spans="1:84">
      <c r="A96" s="17"/>
      <c r="B96" s="16"/>
      <c r="C96" s="18"/>
      <c r="D96" s="720">
        <f>MAX(_xll.xlDateSettle("TARGET",$D$4,2),L96)</f>
        <v>43179</v>
      </c>
      <c r="E96" s="718" t="s">
        <v>804</v>
      </c>
      <c r="F96" s="13" t="s">
        <v>1329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1343</v>
      </c>
      <c r="O96" s="12" t="s">
        <v>1178</v>
      </c>
      <c r="P96" s="12" t="s">
        <v>1344</v>
      </c>
      <c r="Q96" s="15">
        <v>21161146000</v>
      </c>
      <c r="R96" s="12"/>
      <c r="S96" s="43">
        <f>_xll.RtGet("IDN",$X96,$S$9)</f>
        <v>107.47</v>
      </c>
      <c r="T96" s="43">
        <f>_xll.RtGet("IDN",$X96,$T$9)</f>
        <v>107.49300000000001</v>
      </c>
      <c r="U96" s="25">
        <f t="shared" si="18"/>
        <v>107.48150000000001</v>
      </c>
      <c r="V96" s="12"/>
      <c r="W96" s="25">
        <f t="shared" si="11"/>
        <v>107.48150000000001</v>
      </c>
      <c r="X96" s="14" t="str">
        <f t="shared" si="12"/>
        <v>ES0000121O=</v>
      </c>
      <c r="Y96" s="14"/>
      <c r="Z96" s="14"/>
      <c r="AA96" s="14"/>
      <c r="AB96" s="14"/>
      <c r="AC96" s="14"/>
      <c r="AD96" s="34">
        <f>IF(ISNUMBER($D96),_xll.xlBondYield($F96,$H96,$G96,$J96,$K96,$L96,$M96,$D96,$W96,IF(NOT($H96),TRUE,FALSE)),"")</f>
        <v>-3.0872952636657458E-3</v>
      </c>
      <c r="AE96" s="12"/>
      <c r="AF96" s="12"/>
      <c r="AG96" s="12"/>
      <c r="AH96" s="14"/>
      <c r="AI96" s="14"/>
      <c r="AJ96" s="14"/>
      <c r="AK96" s="246">
        <f>IF(ISNUMBER($D96),_xll.xlBondAswSpread($F96&amp;T(TYPE($AV$1)),$H96,$G96,$J96,$K96,$L96,$M96,$D96,$W96,IF(NOT($H96),TRUE,FALSE),curveName,curveName,,,2),"")</f>
        <v>-9.4789167974540678E-2</v>
      </c>
      <c r="AL96" s="213">
        <f>IF($W96&gt;0,_xll.xlBondZSpread(F96&amp;T(TYPE($AV$1)),H96,G96,J96,K96,L96,M96,D96,U96,"annual",5,IF(NOT($H96),TRUE,FALSE),curveName)*100,"")</f>
        <v>-9.0358598484526755</v>
      </c>
      <c r="AM96" s="266" t="e">
        <f>(-IF($AL$9="",VLOOKUP(VLOOKUP(E96,'DB Basis'!$D$2:$H$65205,4,0),Bonds!$AR$1:$AS$6,2,0),$AL$9)*VLOOKUP(E96,'DB Basis'!$D$2:$E$65205,2,0))+IF(V96="",W96,V96)</f>
        <v>#N/A</v>
      </c>
      <c r="AN96" s="274" t="str">
        <f>IF($AN$9+(($AL$9-$AM$9))*('DB Basis'!F256/10-'DB Basis'!E256),," ")</f>
        <v xml:space="preserve"> </v>
      </c>
      <c r="AO96" s="639">
        <f>IF(U96&gt;0,_xll.xlShmImplSwap2(curveName&amp;T(TYPE($AV$1)),curveName,D96,G96,,1,8,2,4),"")</f>
        <v>-2.186993137353337E-3</v>
      </c>
      <c r="AP96" s="640">
        <f t="shared" si="13"/>
        <v>-9.0030212631240884E-4</v>
      </c>
      <c r="AQ96" s="386">
        <f t="shared" si="14"/>
        <v>16.342300973333529</v>
      </c>
      <c r="AR96" s="386">
        <f t="shared" si="15"/>
        <v>8.8990453308525073</v>
      </c>
      <c r="AS96" s="388"/>
      <c r="AT96" s="242">
        <f t="shared" si="16"/>
        <v>-0.30450035477251192</v>
      </c>
      <c r="AU96" s="686" t="str">
        <f t="shared" si="10"/>
        <v>SPGB  31-Oct-19  4.3</v>
      </c>
      <c r="AV96" s="702"/>
      <c r="AW96" s="684"/>
      <c r="AX96" s="684"/>
      <c r="AY96" s="684"/>
      <c r="AZ96" s="684"/>
      <c r="BA96" s="684"/>
      <c r="BB96" s="682"/>
      <c r="BC96" s="696"/>
      <c r="BE96" s="706">
        <f>_xll.xlDateShiftMonth(BE95,1)</f>
        <v>45775</v>
      </c>
      <c r="BF96" s="707">
        <v>1.4402642570636247E-2</v>
      </c>
      <c r="BU96" s="133" t="s">
        <v>599</v>
      </c>
      <c r="BV96" s="133" t="s">
        <v>599</v>
      </c>
      <c r="BW96" s="133" t="s">
        <v>599</v>
      </c>
      <c r="BX96" s="133" t="s">
        <v>599</v>
      </c>
      <c r="BY96" s="133" t="s">
        <v>599</v>
      </c>
      <c r="BZ96" s="133" t="s">
        <v>599</v>
      </c>
      <c r="CA96" s="133" t="s">
        <v>599</v>
      </c>
      <c r="CB96" s="133" t="s">
        <v>599</v>
      </c>
      <c r="CC96" s="133" t="s">
        <v>599</v>
      </c>
      <c r="CD96" s="133" t="s">
        <v>599</v>
      </c>
      <c r="CE96" s="133" t="s">
        <v>599</v>
      </c>
      <c r="CF96" s="133" t="s">
        <v>599</v>
      </c>
    </row>
    <row r="97" spans="1:84">
      <c r="A97" s="10"/>
      <c r="B97" s="11"/>
      <c r="C97" s="12"/>
      <c r="D97" s="720">
        <f>MAX(_xll.xlDateSettle("TARGET",$D$4,2),L97)</f>
        <v>43179</v>
      </c>
      <c r="E97" s="718" t="s">
        <v>814</v>
      </c>
      <c r="F97" s="13" t="s">
        <v>1329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1345</v>
      </c>
      <c r="O97" s="12" t="s">
        <v>1197</v>
      </c>
      <c r="P97" s="12" t="s">
        <v>1346</v>
      </c>
      <c r="Q97" s="15">
        <v>23102991000</v>
      </c>
      <c r="R97" s="12"/>
      <c r="S97" s="43">
        <f>_xll.RtGet("IDN",$X97,$S$9)</f>
        <v>103.104</v>
      </c>
      <c r="T97" s="43">
        <f>_xll.RtGet("IDN",$X97,$T$9)</f>
        <v>103.2</v>
      </c>
      <c r="U97" s="25">
        <f t="shared" si="18"/>
        <v>103.152</v>
      </c>
      <c r="V97" s="12"/>
      <c r="W97" s="25">
        <f t="shared" si="11"/>
        <v>103.152</v>
      </c>
      <c r="X97" s="14" t="str">
        <f t="shared" si="12"/>
        <v>ES0000126C=</v>
      </c>
      <c r="Y97" s="14"/>
      <c r="Z97" s="14"/>
      <c r="AA97" s="14"/>
      <c r="AB97" s="14"/>
      <c r="AC97" s="14"/>
      <c r="AD97" s="34">
        <f>IF(ISNUMBER($D97),_xll.xlBondYield($F97,$H97,$G97,$J97,$K97,$L97,$M97,$D97,$W97,IF(NOT($H97),TRUE,FALSE)),"")</f>
        <v>-2.800288382566192E-3</v>
      </c>
      <c r="AE97" s="12"/>
      <c r="AF97" s="12"/>
      <c r="AG97" s="12"/>
      <c r="AH97" s="14"/>
      <c r="AI97" s="14"/>
      <c r="AJ97" s="14"/>
      <c r="AK97" s="246">
        <f>IF(ISNUMBER($D97),_xll.xlBondAswSpread($F97&amp;T(TYPE($AV$1)),$H97,$G97,$J97,$K97,$L97,$M97,$D97,$W97,IF(NOT($H97),TRUE,FALSE),curveName,curveName,,,2),"")</f>
        <v>-9.2574645522770158E-2</v>
      </c>
      <c r="AL97" s="213">
        <f>IF($W97&gt;0,_xll.xlBondZSpread(F97&amp;T(TYPE($AV$1)),H97,G97,J97,K97,L97,M97,D97,U97,"annual",5,IF(NOT($H97),TRUE,FALSE),curveName)*100,"")</f>
        <v>-9.1625409822299861</v>
      </c>
      <c r="AM97" s="266" t="e">
        <f>(-IF($AL$9="",VLOOKUP(VLOOKUP(E97,'DB Basis'!$D$2:$H$65205,4,0),Bonds!$AR$1:$AS$6,2,0),$AL$9)*VLOOKUP(E97,'DB Basis'!$D$2:$E$65205,2,0))+IF(V97="",W97,V97)</f>
        <v>#N/A</v>
      </c>
      <c r="AN97" s="274" t="str">
        <f>IF($AN$9+(($AL$9-$AM$9))*('DB Basis'!F257/10-'DB Basis'!E257),," ")</f>
        <v xml:space="preserve"> </v>
      </c>
      <c r="AO97" s="639">
        <f>IF(U97&gt;0,_xll.xlShmImplSwap2(curveName&amp;T(TYPE($AV$1)),curveName,D97,G97,,1,8,2,4),"")</f>
        <v>-1.8856564591213545E-3</v>
      </c>
      <c r="AP97" s="640">
        <f t="shared" si="13"/>
        <v>-9.1463192344483748E-4</v>
      </c>
      <c r="AQ97" s="386">
        <f t="shared" si="14"/>
        <v>11.386686043623602</v>
      </c>
      <c r="AR97" s="386">
        <f t="shared" si="15"/>
        <v>-0.5685191253626577</v>
      </c>
      <c r="AS97" s="388"/>
      <c r="AT97" s="242">
        <f t="shared" si="16"/>
        <v>-0.27619282677365181</v>
      </c>
      <c r="AU97" s="686" t="str">
        <f t="shared" si="10"/>
        <v>SPGB  31-Jan-20  1.4</v>
      </c>
      <c r="AV97" s="702"/>
      <c r="AW97" s="684"/>
      <c r="AX97" s="684"/>
      <c r="AY97" s="684"/>
      <c r="AZ97" s="684"/>
      <c r="BA97" s="684"/>
      <c r="BB97" s="682"/>
      <c r="BC97" s="696"/>
      <c r="BE97" s="706">
        <f>_xll.xlDateShiftMonth(BE96,1)</f>
        <v>45805</v>
      </c>
      <c r="BF97" s="707">
        <v>1.4589569054597427E-2</v>
      </c>
      <c r="BU97" s="133" t="s">
        <v>599</v>
      </c>
      <c r="BV97" s="133" t="s">
        <v>599</v>
      </c>
      <c r="BW97" s="133" t="s">
        <v>599</v>
      </c>
      <c r="BX97" s="133" t="s">
        <v>599</v>
      </c>
      <c r="BY97" s="133" t="s">
        <v>599</v>
      </c>
      <c r="BZ97" s="133" t="s">
        <v>599</v>
      </c>
      <c r="CA97" s="133" t="s">
        <v>599</v>
      </c>
      <c r="CB97" s="133" t="s">
        <v>599</v>
      </c>
      <c r="CC97" s="133" t="s">
        <v>599</v>
      </c>
      <c r="CD97" s="133" t="s">
        <v>599</v>
      </c>
      <c r="CE97" s="133" t="s">
        <v>599</v>
      </c>
      <c r="CF97" s="133" t="s">
        <v>599</v>
      </c>
    </row>
    <row r="98" spans="1:84">
      <c r="A98" s="17"/>
      <c r="B98" s="16"/>
      <c r="C98" s="18"/>
      <c r="D98" s="720">
        <f>MAX(_xll.xlDateSettle("TARGET",$D$4,2),L98)</f>
        <v>43179</v>
      </c>
      <c r="E98" s="718" t="s">
        <v>805</v>
      </c>
      <c r="F98" s="13" t="s">
        <v>1329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1347</v>
      </c>
      <c r="O98" s="12" t="s">
        <v>1178</v>
      </c>
      <c r="P98" s="12" t="s">
        <v>1348</v>
      </c>
      <c r="Q98" s="15">
        <v>23365044000</v>
      </c>
      <c r="R98" s="12"/>
      <c r="S98" s="43">
        <f>_xll.RtGet("IDN",$X98,$S$9)</f>
        <v>108.92</v>
      </c>
      <c r="T98" s="43">
        <f>_xll.RtGet("IDN",$X98,$T$9)</f>
        <v>108.956</v>
      </c>
      <c r="U98" s="25">
        <f t="shared" si="18"/>
        <v>108.938</v>
      </c>
      <c r="V98" s="12"/>
      <c r="W98" s="25">
        <f t="shared" si="11"/>
        <v>108.938</v>
      </c>
      <c r="X98" s="14" t="str">
        <f t="shared" si="12"/>
        <v>ES0000122D=</v>
      </c>
      <c r="Y98" s="14"/>
      <c r="Z98" s="14"/>
      <c r="AA98" s="14"/>
      <c r="AB98" s="14"/>
      <c r="AC98" s="14"/>
      <c r="AD98" s="34">
        <f>IF(ISNUMBER($D98),_xll.xlBondYield($F98,$H98,$G98,$J98,$K98,$L98,$M98,$D98,$W98,IF(NOT($H98),TRUE,FALSE)),"")</f>
        <v>-2.1687022885635565E-3</v>
      </c>
      <c r="AE98" s="12"/>
      <c r="AF98" s="12"/>
      <c r="AG98" s="12"/>
      <c r="AH98" s="14"/>
      <c r="AI98" s="14"/>
      <c r="AJ98" s="14"/>
      <c r="AK98" s="246">
        <f>IF(ISNUMBER($D98),_xll.xlBondAswSpread($F98&amp;T(TYPE($AV$1)),$H98,$G98,$J98,$K98,$L98,$M98,$D98,$W98,IF(NOT($H98),TRUE,FALSE),curveName,curveName,,,2),"")</f>
        <v>-6.464794555005432E-2</v>
      </c>
      <c r="AL98" s="213">
        <f>IF($W98&gt;0,_xll.xlBondZSpread(F98&amp;T(TYPE($AV$1)),H98,G98,J98,K98,L98,M98,D98,U98,"annual",5,IF(NOT($H98),TRUE,FALSE),curveName)*100,"")</f>
        <v>-6.1490841471677422</v>
      </c>
      <c r="AM98" s="266" t="e">
        <f>(-IF($AL$9="",VLOOKUP(VLOOKUP(E98,'DB Basis'!$D$2:$H$65205,4,0),Bonds!$AR$1:$AS$6,2,0),$AL$9)*VLOOKUP(E98,'DB Basis'!$D$2:$E$65205,2,0))+IF(V98="",W98,V98)</f>
        <v>#N/A</v>
      </c>
      <c r="AN98" s="274" t="str">
        <f>IF($AN$9+(($AL$9-$AM$9))*('DB Basis'!F258/10-'DB Basis'!E258),," ")</f>
        <v xml:space="preserve"> </v>
      </c>
      <c r="AO98" s="639">
        <f>IF(U98&gt;0,_xll.xlShmImplSwap2(curveName&amp;T(TYPE($AV$1)),curveName,D98,G98,,1,8,2,4),"")</f>
        <v>-1.5313132649578626E-3</v>
      </c>
      <c r="AP98" s="640">
        <f t="shared" si="13"/>
        <v>-6.3738902360569393E-4</v>
      </c>
      <c r="AQ98" s="386">
        <f t="shared" si="14"/>
        <v>25.614324923440215</v>
      </c>
      <c r="AR98" s="386">
        <f t="shared" si="15"/>
        <v>11.24373982680971</v>
      </c>
      <c r="AS98" s="388"/>
      <c r="AT98" s="242">
        <f t="shared" si="16"/>
        <v>-0.21389940380352884</v>
      </c>
      <c r="AU98" s="686" t="str">
        <f t="shared" si="10"/>
        <v>SPGB  30-Apr-20  4</v>
      </c>
      <c r="AV98" s="702"/>
      <c r="AW98" s="684"/>
      <c r="AX98" s="684"/>
      <c r="AY98" s="684"/>
      <c r="AZ98" s="684"/>
      <c r="BA98" s="684"/>
      <c r="BB98" s="682"/>
      <c r="BC98" s="696"/>
      <c r="BE98" s="706">
        <f>_xll.xlDateShiftMonth(BE97,1)</f>
        <v>45836</v>
      </c>
      <c r="BF98" s="707">
        <v>1.4771742588670979E-2</v>
      </c>
      <c r="BU98" s="133" t="s">
        <v>599</v>
      </c>
      <c r="BV98" s="133" t="s">
        <v>599</v>
      </c>
      <c r="BW98" s="133" t="s">
        <v>599</v>
      </c>
      <c r="BX98" s="133" t="s">
        <v>599</v>
      </c>
      <c r="BY98" s="133" t="s">
        <v>599</v>
      </c>
      <c r="BZ98" s="133" t="s">
        <v>599</v>
      </c>
      <c r="CA98" s="133" t="s">
        <v>599</v>
      </c>
      <c r="CB98" s="133" t="s">
        <v>599</v>
      </c>
      <c r="CC98" s="133" t="s">
        <v>599</v>
      </c>
      <c r="CD98" s="133" t="s">
        <v>599</v>
      </c>
      <c r="CE98" s="133" t="s">
        <v>599</v>
      </c>
      <c r="CF98" s="133" t="s">
        <v>599</v>
      </c>
    </row>
    <row r="99" spans="1:84">
      <c r="A99" s="10"/>
      <c r="B99" s="11"/>
      <c r="C99" s="12"/>
      <c r="D99" s="720">
        <f>MAX(_xll.xlDateSettle("TARGET",$D$4,2),L99)</f>
        <v>43179</v>
      </c>
      <c r="E99" s="718" t="s">
        <v>819</v>
      </c>
      <c r="F99" s="13" t="s">
        <v>1329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1349</v>
      </c>
      <c r="O99" s="12" t="s">
        <v>1178</v>
      </c>
      <c r="P99" s="12" t="s">
        <v>1350</v>
      </c>
      <c r="Q99" s="15">
        <v>19079200000</v>
      </c>
      <c r="R99" s="12"/>
      <c r="S99" s="43">
        <f>_xll.RtGet("IDN",$X99,$S$9)</f>
        <v>103.081</v>
      </c>
      <c r="T99" s="43">
        <f>_xll.RtGet("IDN",$X99,$T$9)</f>
        <v>103.16</v>
      </c>
      <c r="U99" s="25">
        <f t="shared" si="18"/>
        <v>103.12049999999999</v>
      </c>
      <c r="V99" s="12"/>
      <c r="W99" s="25">
        <f t="shared" si="11"/>
        <v>103.12049999999999</v>
      </c>
      <c r="X99" s="14" t="str">
        <f t="shared" si="12"/>
        <v>ES0000127H=</v>
      </c>
      <c r="Y99" s="14"/>
      <c r="Z99" s="14"/>
      <c r="AA99" s="14"/>
      <c r="AB99" s="14"/>
      <c r="AC99" s="14"/>
      <c r="AD99" s="34">
        <f>IF(ISNUMBER($D99),_xll.xlBondYield($F99,$H99,$G99,$J99,$K99,$L99,$M99,$D99,$W99,IF(NOT($H99),TRUE,FALSE)),"")</f>
        <v>-1.6751255217046911E-3</v>
      </c>
      <c r="AE99" s="12"/>
      <c r="AF99" s="12"/>
      <c r="AG99" s="12"/>
      <c r="AH99" s="14"/>
      <c r="AI99" s="14"/>
      <c r="AJ99" s="14"/>
      <c r="AK99" s="246">
        <f>IF(ISNUMBER($D99),_xll.xlBondAswSpread($F99&amp;T(TYPE($AV$1)),$H99,$G99,$J99,$K99,$L99,$M99,$D99,$W99,IF(NOT($H99),TRUE,FALSE),curveName,curveName,,,2),"")</f>
        <v>-6.0395409326688167E-2</v>
      </c>
      <c r="AL99" s="213">
        <f>IF($W99&gt;0,_xll.xlBondZSpread(F99&amp;T(TYPE($AV$1)),H99,G99,J99,K99,L99,M99,D99,U99,"annual",5,IF(NOT($H99),TRUE,FALSE),curveName)*100,"")</f>
        <v>-5.9941143204196132</v>
      </c>
      <c r="AM99" s="266" t="e">
        <f>(-IF($AL$9="",VLOOKUP(VLOOKUP(E99,'DB Basis'!$D$2:$H$65205,4,0),Bonds!$AR$1:$AS$6,2,0),$AL$9)*VLOOKUP(E99,'DB Basis'!$D$2:$E$65205,2,0))+IF(V99="",W99,V99)</f>
        <v>#N/A</v>
      </c>
      <c r="AN99" s="274" t="str">
        <f>IF($AN$9+(($AL$9-$AM$9))*('DB Basis'!F259/10-'DB Basis'!E259),," ")</f>
        <v xml:space="preserve"> </v>
      </c>
      <c r="AO99" s="639">
        <f>IF(U99&gt;0,_xll.xlShmImplSwap2(curveName&amp;T(TYPE($AV$1)),curveName,D99,G99,,1,8,2,4),"")</f>
        <v>-1.0623983844244846E-3</v>
      </c>
      <c r="AP99" s="640">
        <f t="shared" si="13"/>
        <v>-6.1272713728020649E-4</v>
      </c>
      <c r="AQ99" s="386">
        <f t="shared" si="14"/>
        <v>19.797309879503942</v>
      </c>
      <c r="AR99" s="386">
        <f t="shared" si="15"/>
        <v>0.98918555041790268</v>
      </c>
      <c r="AS99" s="388"/>
      <c r="AT99" s="242">
        <f t="shared" si="16"/>
        <v>-0.16521785967498323</v>
      </c>
      <c r="AU99" s="686" t="str">
        <f t="shared" si="10"/>
        <v>SPGB  30-Jul-20  1.15</v>
      </c>
      <c r="AV99" s="702"/>
      <c r="AW99" s="684"/>
      <c r="AX99" s="684"/>
      <c r="AY99" s="684"/>
      <c r="AZ99" s="684"/>
      <c r="BA99" s="684"/>
      <c r="BB99" s="682"/>
      <c r="BC99" s="696"/>
      <c r="BE99" s="706">
        <f>_xll.xlDateShiftMonth(BE98,1)</f>
        <v>45866</v>
      </c>
      <c r="BF99" s="707">
        <v>1.4944189281291565E-2</v>
      </c>
      <c r="BU99" s="133" t="s">
        <v>599</v>
      </c>
      <c r="BV99" s="133" t="s">
        <v>599</v>
      </c>
      <c r="BW99" s="133" t="s">
        <v>599</v>
      </c>
      <c r="BX99" s="133" t="s">
        <v>599</v>
      </c>
      <c r="BY99" s="133" t="s">
        <v>599</v>
      </c>
      <c r="BZ99" s="133" t="s">
        <v>599</v>
      </c>
      <c r="CA99" s="133" t="s">
        <v>599</v>
      </c>
      <c r="CB99" s="133" t="s">
        <v>599</v>
      </c>
      <c r="CC99" s="133" t="s">
        <v>599</v>
      </c>
      <c r="CD99" s="133" t="s">
        <v>599</v>
      </c>
      <c r="CE99" s="133" t="s">
        <v>599</v>
      </c>
      <c r="CF99" s="133" t="s">
        <v>599</v>
      </c>
    </row>
    <row r="100" spans="1:84">
      <c r="A100" s="17"/>
      <c r="B100" s="16"/>
      <c r="C100" s="18"/>
      <c r="D100" s="720">
        <f>MAX(_xll.xlDateSettle("TARGET",$D$4,2),L100)</f>
        <v>43179</v>
      </c>
      <c r="E100" s="718" t="s">
        <v>830</v>
      </c>
      <c r="F100" s="13" t="s">
        <v>1329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1351</v>
      </c>
      <c r="O100" s="12" t="s">
        <v>1178</v>
      </c>
      <c r="P100" s="12" t="s">
        <v>1352</v>
      </c>
      <c r="Q100" s="15">
        <v>18387219000</v>
      </c>
      <c r="R100" s="12"/>
      <c r="S100" s="43">
        <f>_xll.RtGet("IDN",$X100,$S$9)</f>
        <v>113.051</v>
      </c>
      <c r="T100" s="43">
        <f>_xll.RtGet("IDN",$X100,$T$9)</f>
        <v>113.13500000000001</v>
      </c>
      <c r="U100" s="25">
        <f t="shared" si="18"/>
        <v>113.093</v>
      </c>
      <c r="V100" s="12"/>
      <c r="W100" s="25">
        <f t="shared" si="11"/>
        <v>113.093</v>
      </c>
      <c r="X100" s="14" t="str">
        <f t="shared" si="12"/>
        <v>ES0000122T=</v>
      </c>
      <c r="Y100" s="14"/>
      <c r="Z100" s="14"/>
      <c r="AA100" s="14"/>
      <c r="AB100" s="14"/>
      <c r="AC100" s="14"/>
      <c r="AD100" s="34">
        <f>IF(ISNUMBER($D100),_xll.xlBondYield($F100,$H100,$G100,$J100,$K100,$L100,$M100,$D100,$W100,IF(NOT($H100),TRUE,FALSE)),"")</f>
        <v>-1.4078031597638679E-3</v>
      </c>
      <c r="AE100" s="12"/>
      <c r="AF100" s="12"/>
      <c r="AG100" s="12"/>
      <c r="AH100" s="14"/>
      <c r="AI100" s="14"/>
      <c r="AJ100" s="14"/>
      <c r="AK100" s="246">
        <f>IF(ISNUMBER($D100),_xll.xlBondAswSpread($F100&amp;T(TYPE($AV$1)),$H100,$G100,$J100,$K100,$L100,$M100,$D100,$W100,IF(NOT($H100),TRUE,FALSE),curveName,curveName,,,2),"")</f>
        <v>-9.3916277292149575E-2</v>
      </c>
      <c r="AL100" s="213">
        <f>IF($W100&gt;0,_xll.xlBondZSpread(F100&amp;T(TYPE($AV$1)),H100,G100,J100,K100,L100,M100,D100,U100,"annual",5,IF(NOT($H100),TRUE,FALSE),curveName)*100,"")</f>
        <v>-8.7312570908616181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4" t="str">
        <f>IF($AN$9+(($AL$9-$AM$9))*('DB Basis'!F260/10-'DB Basis'!E260),," ")</f>
        <v xml:space="preserve"> </v>
      </c>
      <c r="AO100" s="639">
        <f>IF(U100&gt;0,_xll.xlShmImplSwap2(curveName&amp;T(TYPE($AV$1)),curveName,D100,G100,,1,8,2,4),"")</f>
        <v>-4.7322125440967574E-4</v>
      </c>
      <c r="AP100" s="640">
        <f t="shared" si="13"/>
        <v>-9.345819053541922E-4</v>
      </c>
      <c r="AQ100" s="386">
        <f t="shared" si="14"/>
        <v>10.491684097677469</v>
      </c>
      <c r="AR100" s="386">
        <f t="shared" si="15"/>
        <v>-12.631934445914492</v>
      </c>
      <c r="AS100" s="388"/>
      <c r="AT100" s="242">
        <f t="shared" si="16"/>
        <v>-0.13885181849725819</v>
      </c>
      <c r="AU100" s="686" t="str">
        <f t="shared" si="10"/>
        <v>SPGB  31-Oct-20  4.85</v>
      </c>
      <c r="AV100" s="702"/>
      <c r="AW100" s="684"/>
      <c r="AX100" s="684"/>
      <c r="AY100" s="684"/>
      <c r="AZ100" s="684"/>
      <c r="BA100" s="684"/>
      <c r="BB100" s="682"/>
      <c r="BC100" s="696"/>
      <c r="BE100" s="706">
        <f>_xll.xlDateShiftMonth(BE99,1)</f>
        <v>45897</v>
      </c>
      <c r="BF100" s="707">
        <v>1.5118604313378902E-2</v>
      </c>
      <c r="BU100" s="133" t="s">
        <v>599</v>
      </c>
      <c r="BV100" s="133" t="s">
        <v>599</v>
      </c>
      <c r="BW100" s="133" t="s">
        <v>599</v>
      </c>
      <c r="BX100" s="133" t="s">
        <v>599</v>
      </c>
      <c r="BY100" s="133" t="s">
        <v>599</v>
      </c>
      <c r="BZ100" s="133" t="s">
        <v>599</v>
      </c>
      <c r="CA100" s="133" t="s">
        <v>599</v>
      </c>
      <c r="CB100" s="133" t="s">
        <v>599</v>
      </c>
      <c r="CC100" s="133" t="s">
        <v>599</v>
      </c>
      <c r="CD100" s="133" t="s">
        <v>599</v>
      </c>
      <c r="CE100" s="133" t="s">
        <v>599</v>
      </c>
      <c r="CF100" s="133" t="s">
        <v>599</v>
      </c>
    </row>
    <row r="101" spans="1:84">
      <c r="A101" s="10"/>
      <c r="B101" s="11"/>
      <c r="C101" s="12"/>
      <c r="D101" s="720">
        <f>MAX(_xll.xlDateSettle("TARGET",$D$4,2),L101)</f>
        <v>43179</v>
      </c>
      <c r="E101" s="718" t="s">
        <v>1633</v>
      </c>
      <c r="F101" s="13" t="s">
        <v>1329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1353</v>
      </c>
      <c r="O101" s="12" t="s">
        <v>1197</v>
      </c>
      <c r="P101" s="12" t="s">
        <v>1354</v>
      </c>
      <c r="Q101" s="15">
        <v>11549967000</v>
      </c>
      <c r="R101" s="12"/>
      <c r="S101" s="43">
        <f>_xll.RtGet("IDN",$X101,$S$9)</f>
        <v>100.32300000000001</v>
      </c>
      <c r="T101" s="43">
        <f>_xll.RtGet("IDN",$X101,$T$9)</f>
        <v>100.364</v>
      </c>
      <c r="U101" s="25">
        <f t="shared" si="18"/>
        <v>100.34350000000001</v>
      </c>
      <c r="V101" s="12"/>
      <c r="W101" s="25">
        <f t="shared" si="11"/>
        <v>100.34350000000001</v>
      </c>
      <c r="X101" s="14" t="str">
        <f t="shared" si="12"/>
        <v>ES0000128X=</v>
      </c>
      <c r="Y101" s="14"/>
      <c r="Z101" s="14"/>
      <c r="AA101" s="14"/>
      <c r="AB101" s="14"/>
      <c r="AC101" s="14"/>
      <c r="AD101" s="34">
        <f>IF(ISNUMBER($D101),_xll.xlBondYield($F101,$H101,$G101,$J101,$K101,$L101,$M101,$D101,$W101,IF(NOT($H101),TRUE,FALSE)),"")</f>
        <v>-6.9521280421899984E-4</v>
      </c>
      <c r="AE101" s="12"/>
      <c r="AF101" s="12"/>
      <c r="AG101" s="12"/>
      <c r="AH101" s="14"/>
      <c r="AI101" s="14"/>
      <c r="AJ101" s="14"/>
      <c r="AK101" s="246">
        <f>IF(ISNUMBER($D101),_xll.xlBondAswSpread($F101&amp;T(TYPE($AV$1)),$H101,$G101,$J101,$K101,$L101,$M101,$D101,$W101,IF(NOT($H101),TRUE,FALSE),curveName,curveName,,,2),"")</f>
        <v>-7.8863789866112741E-2</v>
      </c>
      <c r="AL101" s="213">
        <f>IF($W101&gt;0,_xll.xlBondZSpread(F101&amp;T(TYPE($AV$1)),H101,G101,J101,K101,L101,M101,D101,U101,"annual",5,IF(NOT($H101),TRUE,FALSE),curveName)*100,"")</f>
        <v>-7.9973880232137153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4" t="str">
        <f>IF($AN$9+(($AL$9-$AM$9))*('DB Basis'!F261/10-'DB Basis'!E261),," ")</f>
        <v xml:space="preserve"> </v>
      </c>
      <c r="AO101" s="639">
        <f>IF(U101&gt;0,_xll.xlShmImplSwap2(curveName&amp;T(TYPE($AV$1)),curveName,D101,G101,,1,8,2,4),"")</f>
        <v>1.0291731623980041E-4</v>
      </c>
      <c r="AP101" s="640">
        <f t="shared" si="13"/>
        <v>-7.9813012045880025E-4</v>
      </c>
      <c r="AQ101" s="386">
        <f t="shared" si="14"/>
        <v>28.271247801508352</v>
      </c>
      <c r="AR101" s="386">
        <f t="shared" si="15"/>
        <v>5.413576248567181</v>
      </c>
      <c r="AS101" s="388"/>
      <c r="AT101" s="242">
        <f t="shared" si="16"/>
        <v>-6.8568934114750665E-2</v>
      </c>
      <c r="AU101" s="686" t="str">
        <f t="shared" si="10"/>
        <v>SPGB  31-Jan-21  0.05</v>
      </c>
      <c r="AV101" s="702"/>
      <c r="AW101" s="684"/>
      <c r="AX101" s="684"/>
      <c r="AY101" s="684"/>
      <c r="AZ101" s="684"/>
      <c r="BA101" s="684"/>
      <c r="BB101" s="682"/>
      <c r="BC101" s="696"/>
      <c r="BE101" s="706">
        <f>_xll.xlDateShiftMonth(BE100,1)</f>
        <v>45928</v>
      </c>
      <c r="BF101" s="707">
        <v>1.5289275235963551E-2</v>
      </c>
      <c r="BU101" s="133" t="s">
        <v>599</v>
      </c>
      <c r="BV101" s="133" t="s">
        <v>599</v>
      </c>
      <c r="BW101" s="133" t="s">
        <v>599</v>
      </c>
      <c r="BX101" s="133" t="s">
        <v>599</v>
      </c>
      <c r="BY101" s="133" t="s">
        <v>599</v>
      </c>
      <c r="BZ101" s="133" t="s">
        <v>599</v>
      </c>
      <c r="CA101" s="133" t="s">
        <v>599</v>
      </c>
      <c r="CB101" s="133" t="s">
        <v>599</v>
      </c>
      <c r="CC101" s="133" t="s">
        <v>599</v>
      </c>
      <c r="CD101" s="133" t="s">
        <v>599</v>
      </c>
      <c r="CE101" s="133" t="s">
        <v>599</v>
      </c>
      <c r="CF101" s="133" t="s">
        <v>599</v>
      </c>
    </row>
    <row r="102" spans="1:84">
      <c r="A102" s="17"/>
      <c r="B102" s="16"/>
      <c r="C102" s="18"/>
      <c r="D102" s="720">
        <f>MAX(_xll.xlDateSettle("TARGET",$D$4,2),L102)</f>
        <v>43179</v>
      </c>
      <c r="E102" s="718" t="s">
        <v>806</v>
      </c>
      <c r="F102" s="13" t="s">
        <v>1329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1355</v>
      </c>
      <c r="O102" s="12" t="s">
        <v>1178</v>
      </c>
      <c r="P102" s="12" t="s">
        <v>1356</v>
      </c>
      <c r="Q102" s="15">
        <v>24001924000</v>
      </c>
      <c r="R102" s="12"/>
      <c r="S102" s="43">
        <f>_xll.RtGet("IDN",$X102,$S$9)</f>
        <v>117.27200000000001</v>
      </c>
      <c r="T102" s="43">
        <f>_xll.RtGet("IDN",$X102,$T$9)</f>
        <v>117.33200000000001</v>
      </c>
      <c r="U102" s="25">
        <f t="shared" si="18"/>
        <v>117.30200000000001</v>
      </c>
      <c r="V102" s="12"/>
      <c r="W102" s="25">
        <f t="shared" si="11"/>
        <v>117.30200000000001</v>
      </c>
      <c r="X102" s="14" t="str">
        <f t="shared" si="12"/>
        <v>ES0000123B=</v>
      </c>
      <c r="Y102" s="14"/>
      <c r="Z102" s="14"/>
      <c r="AA102" s="14"/>
      <c r="AB102" s="14"/>
      <c r="AC102" s="14"/>
      <c r="AD102" s="34">
        <f>IF(ISNUMBER($D102),_xll.xlBondYield($F102,$H102,$G102,$J102,$K102,$L102,$M102,$D102,$W102,IF(NOT($H102),TRUE,FALSE)),"")</f>
        <v>-5.3069590041004283E-4</v>
      </c>
      <c r="AE102" s="12"/>
      <c r="AF102" s="12"/>
      <c r="AG102" s="12"/>
      <c r="AH102" s="14"/>
      <c r="AI102" s="14"/>
      <c r="AJ102" s="14"/>
      <c r="AK102" s="246">
        <f>IF(ISNUMBER($D102),_xll.xlBondAswSpread($F102&amp;T(TYPE($AV$1)),$H102,$G102,$J102,$K102,$L102,$M102,$D102,$W102,IF(NOT($H102),TRUE,FALSE),curveName,curveName,,,2),"")</f>
        <v>-0.11185168846807529</v>
      </c>
      <c r="AL102" s="213">
        <f>IF($W102&gt;0,_xll.xlBondZSpread(F102&amp;T(TYPE($AV$1)),H102,G102,J102,K102,L102,M102,D102,U102,"annual",5,IF(NOT($H102),TRUE,FALSE),curveName)*100,"")</f>
        <v>-10.20067145054054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4" t="str">
        <f>IF($AN$9+(($AL$9-$AM$9))*('DB Basis'!F262/10-'DB Basis'!E262),," ")</f>
        <v xml:space="preserve"> </v>
      </c>
      <c r="AO102" s="639">
        <f>IF(U102&gt;0,_xll.xlShmImplSwap2(curveName&amp;T(TYPE($AV$1)),curveName,D102,G102,,1,8,2,4),"")</f>
        <v>6.2285073593999849E-4</v>
      </c>
      <c r="AP102" s="640">
        <f t="shared" si="13"/>
        <v>-1.1535466363500413E-3</v>
      </c>
      <c r="AQ102" s="386">
        <f t="shared" si="14"/>
        <v>6.7470415607044165</v>
      </c>
      <c r="AR102" s="386">
        <f t="shared" si="15"/>
        <v>-14.576070595539662</v>
      </c>
      <c r="AS102" s="388"/>
      <c r="AT102" s="242">
        <f t="shared" si="16"/>
        <v>-5.234260935551107E-2</v>
      </c>
      <c r="AU102" s="686" t="str">
        <f t="shared" si="10"/>
        <v>SPGB  30-Apr-21  5.5</v>
      </c>
      <c r="AV102" s="702"/>
      <c r="AW102" s="684"/>
      <c r="AX102" s="684"/>
      <c r="AY102" s="684"/>
      <c r="AZ102" s="684"/>
      <c r="BA102" s="684"/>
      <c r="BB102" s="682"/>
      <c r="BC102" s="696"/>
      <c r="BE102" s="706">
        <f>_xll.xlDateShiftMonth(BE101,1)</f>
        <v>45958</v>
      </c>
      <c r="BF102" s="707">
        <v>1.5450968814923969E-2</v>
      </c>
      <c r="BU102" s="133" t="s">
        <v>599</v>
      </c>
      <c r="BV102" s="133" t="s">
        <v>599</v>
      </c>
      <c r="BW102" s="133" t="s">
        <v>599</v>
      </c>
      <c r="BX102" s="133" t="s">
        <v>599</v>
      </c>
      <c r="BY102" s="133" t="s">
        <v>599</v>
      </c>
      <c r="BZ102" s="133" t="s">
        <v>599</v>
      </c>
      <c r="CA102" s="133" t="s">
        <v>599</v>
      </c>
      <c r="CB102" s="133" t="s">
        <v>599</v>
      </c>
      <c r="CC102" s="133" t="s">
        <v>599</v>
      </c>
      <c r="CD102" s="133" t="s">
        <v>599</v>
      </c>
      <c r="CE102" s="133" t="s">
        <v>599</v>
      </c>
      <c r="CF102" s="133" t="s">
        <v>599</v>
      </c>
    </row>
    <row r="103" spans="1:84">
      <c r="A103" s="10"/>
      <c r="B103" s="11"/>
      <c r="C103" s="12"/>
      <c r="D103" s="720">
        <f>MAX(_xll.xlDateSettle("TARGET",$D$4,2),L103)</f>
        <v>43179</v>
      </c>
      <c r="E103" s="718" t="s">
        <v>831</v>
      </c>
      <c r="F103" s="13" t="s">
        <v>1329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1357</v>
      </c>
      <c r="O103" s="12" t="s">
        <v>1197</v>
      </c>
      <c r="P103" s="12" t="s">
        <v>1358</v>
      </c>
      <c r="Q103" s="15">
        <v>21979290000</v>
      </c>
      <c r="R103" s="12"/>
      <c r="S103" s="43">
        <f>_xll.RtGet("IDN",$X103,$S$9)</f>
        <v>102.53400000000001</v>
      </c>
      <c r="T103" s="43">
        <f>_xll.RtGet("IDN",$X103,$T$9)</f>
        <v>102.634</v>
      </c>
      <c r="U103" s="25">
        <f t="shared" si="18"/>
        <v>102.584</v>
      </c>
      <c r="V103" s="12"/>
      <c r="W103" s="25">
        <f t="shared" si="11"/>
        <v>102.584</v>
      </c>
      <c r="X103" s="14" t="str">
        <f t="shared" si="12"/>
        <v>ES0000128B=</v>
      </c>
      <c r="Y103" s="14"/>
      <c r="Z103" s="14"/>
      <c r="AA103" s="14"/>
      <c r="AB103" s="14"/>
      <c r="AC103" s="14"/>
      <c r="AD103" s="34">
        <f>IF(ISNUMBER($D103),_xll.xlBondYield($F103,$H103,$G103,$J103,$K103,$L103,$M103,$D103,$W103,IF(NOT($H103),TRUE,FALSE)),"")</f>
        <v>-1.835909237667948E-4</v>
      </c>
      <c r="AE103" s="12"/>
      <c r="AF103" s="12"/>
      <c r="AG103" s="12"/>
      <c r="AH103" s="14"/>
      <c r="AI103" s="14"/>
      <c r="AJ103" s="14"/>
      <c r="AK103" s="246">
        <f>IF(ISNUMBER($D103),_xll.xlBondAswSpread($F103&amp;T(TYPE($AV$1)),$H103,$G103,$J103,$K103,$L103,$M103,$D103,$W103,IF(NOT($H103),TRUE,FALSE),curveName,curveName,,,2),"")</f>
        <v>-0.1274027138624802</v>
      </c>
      <c r="AL103" s="213">
        <f>IF($W103&gt;0,_xll.xlBondZSpread(F103&amp;T(TYPE($AV$1)),H103,G103,J103,K103,L103,M103,D103,U103,"annual",5,IF(NOT($H103),TRUE,FALSE),curveName)*100,"")</f>
        <v>-12.749064134921358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4" t="str">
        <f>IF($AN$9+(($AL$9-$AM$9))*('DB Basis'!F263/10-'DB Basis'!E263),," ")</f>
        <v xml:space="preserve"> </v>
      </c>
      <c r="AO103" s="639">
        <f>IF(U103&gt;0,_xll.xlShmImplSwap2(curveName&amp;T(TYPE($AV$1)),curveName,D103,G103,,1,8,2,4),"")</f>
        <v>1.1130707210864528E-3</v>
      </c>
      <c r="AP103" s="640">
        <f t="shared" si="13"/>
        <v>-1.2966616448532476E-3</v>
      </c>
      <c r="AQ103" s="386">
        <f t="shared" si="14"/>
        <v>13.922342469756652</v>
      </c>
      <c r="AR103" s="386">
        <f t="shared" si="15"/>
        <v>-5.7403272641395917</v>
      </c>
      <c r="AS103" s="388"/>
      <c r="AT103" s="242">
        <f t="shared" si="16"/>
        <v>-1.8107597960560582E-2</v>
      </c>
      <c r="AU103" s="686" t="str">
        <f t="shared" si="10"/>
        <v>SPGB  30-Jul-21  0.75</v>
      </c>
      <c r="AV103" s="702"/>
      <c r="AW103" s="684"/>
      <c r="AX103" s="684"/>
      <c r="AY103" s="684"/>
      <c r="AZ103" s="684"/>
      <c r="BA103" s="684"/>
      <c r="BB103" s="682"/>
      <c r="BC103" s="696"/>
      <c r="BE103" s="706">
        <f>_xll.xlDateShiftMonth(BE102,1)</f>
        <v>45989</v>
      </c>
      <c r="BF103" s="707">
        <v>1.5614560785171714E-2</v>
      </c>
      <c r="BU103" s="133" t="s">
        <v>599</v>
      </c>
      <c r="BV103" s="133" t="s">
        <v>599</v>
      </c>
      <c r="BW103" s="133" t="s">
        <v>599</v>
      </c>
      <c r="BX103" s="133" t="s">
        <v>599</v>
      </c>
      <c r="BY103" s="133" t="s">
        <v>599</v>
      </c>
      <c r="BZ103" s="133" t="s">
        <v>599</v>
      </c>
      <c r="CA103" s="133" t="s">
        <v>599</v>
      </c>
      <c r="CB103" s="133" t="s">
        <v>599</v>
      </c>
      <c r="CC103" s="133" t="s">
        <v>599</v>
      </c>
      <c r="CD103" s="133" t="s">
        <v>599</v>
      </c>
      <c r="CE103" s="133" t="s">
        <v>599</v>
      </c>
      <c r="CF103" s="133" t="s">
        <v>599</v>
      </c>
    </row>
    <row r="104" spans="1:84">
      <c r="A104" s="17"/>
      <c r="B104" s="16"/>
      <c r="C104" s="18"/>
      <c r="D104" s="720">
        <f>MAX(_xll.xlDateSettle("TARGET",$D$4,2),L104)</f>
        <v>43179</v>
      </c>
      <c r="E104" s="718" t="s">
        <v>808</v>
      </c>
      <c r="F104" s="13" t="s">
        <v>1329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1359</v>
      </c>
      <c r="O104" s="12" t="s">
        <v>1178</v>
      </c>
      <c r="P104" s="12" t="s">
        <v>1360</v>
      </c>
      <c r="Q104" s="15">
        <v>22927112000</v>
      </c>
      <c r="R104" s="12"/>
      <c r="S104" s="43">
        <f>_xll.RtGet("IDN",$X104,$S$9)</f>
        <v>122.236</v>
      </c>
      <c r="T104" s="43">
        <f>_xll.RtGet("IDN",$X104,$T$9)</f>
        <v>122.288</v>
      </c>
      <c r="U104" s="25">
        <f t="shared" si="18"/>
        <v>122.262</v>
      </c>
      <c r="V104" s="12"/>
      <c r="W104" s="25">
        <f t="shared" si="11"/>
        <v>122.262</v>
      </c>
      <c r="X104" s="14" t="str">
        <f t="shared" si="12"/>
        <v>ES0000123K=</v>
      </c>
      <c r="Y104" s="14"/>
      <c r="Z104" s="14"/>
      <c r="AA104" s="14"/>
      <c r="AB104" s="14"/>
      <c r="AC104" s="14"/>
      <c r="AD104" s="34">
        <f>IF(ISNUMBER($D104),_xll.xlBondYield($F104,$H104,$G104,$J104,$K104,$L104,$M104,$D104,$W104,IF(NOT($H104),TRUE,FALSE)),"")</f>
        <v>8.3524012624233007E-4</v>
      </c>
      <c r="AE104" s="12"/>
      <c r="AF104" s="12"/>
      <c r="AG104" s="12"/>
      <c r="AH104" s="14"/>
      <c r="AI104" s="14"/>
      <c r="AJ104" s="14"/>
      <c r="AK104" s="246">
        <f>IF(ISNUMBER($D104),_xll.xlBondAswSpread($F104&amp;T(TYPE($AV$1)),$H104,$G104,$J104,$K104,$L104,$M104,$D104,$W104,IF(NOT($H104),TRUE,FALSE),curveName,curveName,,,2),"")</f>
        <v>-0.1172308342205285</v>
      </c>
      <c r="AL104" s="213">
        <f>IF($W104&gt;0,_xll.xlBondZSpread(F104&amp;T(TYPE($AV$1)),H104,G104,J104,K104,L104,M104,D104,U104,"annual",5,IF(NOT($H104),TRUE,FALSE),curveName)*100,"")</f>
        <v>-10.468946711087483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4" t="str">
        <f>IF($AN$9+(($AL$9-$AM$9))*('DB Basis'!F264/10-'DB Basis'!E264),," ")</f>
        <v xml:space="preserve"> </v>
      </c>
      <c r="AO104" s="639">
        <f>IF(U104&gt;0,_xll.xlShmImplSwap2(curveName&amp;T(TYPE($AV$1)),curveName,D104,G104,,1,8,2,4),"")</f>
        <v>2.1006856273395121E-3</v>
      </c>
      <c r="AP104" s="640">
        <f t="shared" si="13"/>
        <v>-1.265445501097182E-3</v>
      </c>
      <c r="AQ104" s="386">
        <f t="shared" si="14"/>
        <v>20.101261256936787</v>
      </c>
      <c r="AR104" s="386">
        <f t="shared" si="15"/>
        <v>0.61588607951156393</v>
      </c>
      <c r="AS104" s="388"/>
      <c r="AT104" s="242">
        <f t="shared" si="16"/>
        <v>8.2379848067736669E-2</v>
      </c>
      <c r="AU104" s="686" t="str">
        <f t="shared" si="10"/>
        <v>SPGB  31-Jan-22  5.85</v>
      </c>
      <c r="AV104" s="702"/>
      <c r="AW104" s="684"/>
      <c r="AX104" s="684"/>
      <c r="AY104" s="684"/>
      <c r="AZ104" s="684"/>
      <c r="BA104" s="684"/>
      <c r="BB104" s="682"/>
      <c r="BC104" s="696"/>
      <c r="BE104" s="706">
        <f>_xll.xlDateShiftMonth(BE103,1)</f>
        <v>46019</v>
      </c>
      <c r="BF104" s="707">
        <v>1.5769588875462801E-2</v>
      </c>
      <c r="BU104" s="133" t="s">
        <v>599</v>
      </c>
      <c r="BV104" s="133" t="s">
        <v>599</v>
      </c>
      <c r="BW104" s="133" t="s">
        <v>599</v>
      </c>
      <c r="BX104" s="133" t="s">
        <v>599</v>
      </c>
      <c r="BY104" s="133" t="s">
        <v>599</v>
      </c>
      <c r="BZ104" s="133" t="s">
        <v>599</v>
      </c>
      <c r="CA104" s="133" t="s">
        <v>599</v>
      </c>
      <c r="CB104" s="133" t="s">
        <v>599</v>
      </c>
      <c r="CC104" s="133" t="s">
        <v>599</v>
      </c>
      <c r="CD104" s="133" t="s">
        <v>599</v>
      </c>
      <c r="CE104" s="133" t="s">
        <v>599</v>
      </c>
      <c r="CF104" s="133" t="s">
        <v>599</v>
      </c>
    </row>
    <row r="105" spans="1:84">
      <c r="A105" s="10"/>
      <c r="B105" s="11"/>
      <c r="C105" s="12"/>
      <c r="D105" s="720">
        <f>MAX(_xll.xlDateSettle("TARGET",$D$4,2),L105)</f>
        <v>43179</v>
      </c>
      <c r="E105" s="718" t="s">
        <v>948</v>
      </c>
      <c r="F105" s="13" t="s">
        <v>1329</v>
      </c>
      <c r="G105" s="35">
        <v>44681</v>
      </c>
      <c r="H105" s="37">
        <v>0.4</v>
      </c>
      <c r="I105" s="11">
        <v>44681</v>
      </c>
      <c r="J105" s="11">
        <v>42759</v>
      </c>
      <c r="K105" s="11">
        <v>42855</v>
      </c>
      <c r="L105" s="11">
        <v>42759</v>
      </c>
      <c r="M105" s="12">
        <v>99.998999999999995</v>
      </c>
      <c r="N105" s="12" t="s">
        <v>1361</v>
      </c>
      <c r="O105" s="12" t="s">
        <v>1178</v>
      </c>
      <c r="P105" s="12" t="s">
        <v>1362</v>
      </c>
      <c r="Q105" s="15">
        <v>20899708000</v>
      </c>
      <c r="R105" s="12"/>
      <c r="S105" s="43">
        <f>_xll.RtGet("IDN",$X105,$S$9)</f>
        <v>100.895</v>
      </c>
      <c r="T105" s="43">
        <f>_xll.RtGet("IDN",$X105,$T$9)</f>
        <v>100.946</v>
      </c>
      <c r="U105" s="25">
        <f t="shared" si="18"/>
        <v>100.9205</v>
      </c>
      <c r="V105" s="12"/>
      <c r="W105" s="25">
        <f t="shared" si="11"/>
        <v>100.9205</v>
      </c>
      <c r="X105" s="14" t="str">
        <f t="shared" si="12"/>
        <v>ES0000128O=</v>
      </c>
      <c r="Y105" s="14"/>
      <c r="Z105" s="14"/>
      <c r="AA105" s="14"/>
      <c r="AB105" s="14"/>
      <c r="AC105" s="14"/>
      <c r="AD105" s="34">
        <f>IF(ISNUMBER($D105),_xll.xlBondYield($F105,$H105,$G105,$J105,$K105,$L105,$M105,$D105,$W105,IF(NOT($H105),TRUE,FALSE)),"")</f>
        <v>1.7491748677859421E-3</v>
      </c>
      <c r="AE105" s="12"/>
      <c r="AF105" s="12"/>
      <c r="AG105" s="12"/>
      <c r="AH105" s="14"/>
      <c r="AI105" s="14"/>
      <c r="AJ105" s="14"/>
      <c r="AK105" s="246">
        <f>IF(ISNUMBER($D105),_xll.xlBondAswSpread($F105&amp;T(TYPE($AV$1)),$H105,$G105,$J105,$K105,$L105,$M105,$D105,$W105,IF(NOT($H105),TRUE,FALSE),curveName,curveName,,,2),"")</f>
        <v>-7.9742522912016542E-2</v>
      </c>
      <c r="AL105" s="213">
        <f>IF($W105&gt;0,_xll.xlBondZSpread(F105&amp;T(TYPE($AV$1)),H105,G105,J105,K105,L105,M105,D105,U105,"annual",5,IF(NOT($H105),TRUE,FALSE),curveName)*100,"")</f>
        <v>-8.0874056895845552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4" t="str">
        <f>IF($AN$9+(($AL$9-$AM$9))*('DB Basis'!F265/10-'DB Basis'!E265),," ")</f>
        <v xml:space="preserve"> </v>
      </c>
      <c r="AO105" s="639">
        <f>IF(U105&gt;0,_xll.xlShmImplSwap2(curveName&amp;T(TYPE($AV$1)),curveName,D105,G105,,1,8,2,4),"")</f>
        <v>2.5647139976063649E-3</v>
      </c>
      <c r="AP105" s="640">
        <f t="shared" si="13"/>
        <v>-8.1553912982042275E-4</v>
      </c>
      <c r="AQ105" s="386">
        <f t="shared" si="14"/>
        <v>37.481593332968359</v>
      </c>
      <c r="AR105" s="386">
        <f t="shared" si="15"/>
        <v>18.451216350114283</v>
      </c>
      <c r="AS105" s="388"/>
      <c r="AT105" s="242">
        <f t="shared" si="16"/>
        <v>0.17252135682272307</v>
      </c>
      <c r="AU105" s="686" t="str">
        <f t="shared" si="10"/>
        <v>SPGB  30-Apr-22  0.4</v>
      </c>
      <c r="AV105" s="702"/>
      <c r="AW105" s="684"/>
      <c r="AX105" s="684"/>
      <c r="AY105" s="684"/>
      <c r="AZ105" s="684"/>
      <c r="BA105" s="684"/>
      <c r="BB105" s="682"/>
      <c r="BC105" s="696"/>
      <c r="BE105" s="706">
        <f>_xll.xlDateShiftMonth(BE104,1)</f>
        <v>46050</v>
      </c>
      <c r="BF105" s="707">
        <v>1.5926484454797493E-2</v>
      </c>
      <c r="BU105" s="133" t="s">
        <v>599</v>
      </c>
      <c r="BV105" s="133" t="s">
        <v>599</v>
      </c>
      <c r="BW105" s="133" t="s">
        <v>599</v>
      </c>
      <c r="BX105" s="133" t="s">
        <v>599</v>
      </c>
      <c r="BY105" s="133" t="s">
        <v>599</v>
      </c>
      <c r="BZ105" s="133" t="s">
        <v>599</v>
      </c>
      <c r="CA105" s="133" t="s">
        <v>599</v>
      </c>
      <c r="CB105" s="133" t="s">
        <v>599</v>
      </c>
      <c r="CC105" s="133" t="s">
        <v>599</v>
      </c>
      <c r="CD105" s="133" t="s">
        <v>599</v>
      </c>
      <c r="CE105" s="133" t="s">
        <v>599</v>
      </c>
      <c r="CF105" s="133" t="s">
        <v>599</v>
      </c>
    </row>
    <row r="106" spans="1:84">
      <c r="A106" s="17"/>
      <c r="B106" s="16"/>
      <c r="C106" s="18"/>
      <c r="D106" s="720">
        <f>MAX(_xll.xlDateSettle("TARGET",$D$4,2),L106)</f>
        <v>43179</v>
      </c>
      <c r="E106" s="718" t="s">
        <v>1634</v>
      </c>
      <c r="F106" s="13" t="s">
        <v>1329</v>
      </c>
      <c r="G106" s="35">
        <v>44865</v>
      </c>
      <c r="H106" s="37">
        <v>0.45</v>
      </c>
      <c r="I106" s="11">
        <v>44865</v>
      </c>
      <c r="J106" s="11">
        <v>43018</v>
      </c>
      <c r="K106" s="11">
        <v>43039</v>
      </c>
      <c r="L106" s="11">
        <v>43018</v>
      </c>
      <c r="M106" s="12">
        <v>99.6</v>
      </c>
      <c r="N106" s="12" t="s">
        <v>1363</v>
      </c>
      <c r="O106" s="12" t="s">
        <v>1197</v>
      </c>
      <c r="P106" s="12" t="s">
        <v>1364</v>
      </c>
      <c r="Q106" s="15">
        <v>14182396000</v>
      </c>
      <c r="R106" s="12"/>
      <c r="S106" s="43">
        <f>_xll.RtGet("IDN",$X106,$S$9)</f>
        <v>100.67100000000001</v>
      </c>
      <c r="T106" s="43">
        <f>_xll.RtGet("IDN",$X106,$T$9)</f>
        <v>100.723</v>
      </c>
      <c r="U106" s="25">
        <f t="shared" si="18"/>
        <v>100.697</v>
      </c>
      <c r="V106" s="12"/>
      <c r="W106" s="25">
        <f t="shared" si="11"/>
        <v>100.697</v>
      </c>
      <c r="X106" s="14" t="str">
        <f t="shared" si="12"/>
        <v>ES000012A9=</v>
      </c>
      <c r="Y106" s="14"/>
      <c r="Z106" s="14"/>
      <c r="AA106" s="14"/>
      <c r="AB106" s="14"/>
      <c r="AC106" s="14"/>
      <c r="AD106" s="34">
        <f>IF(ISNUMBER($D106),_xll.xlBondYield($F106,$H106,$G106,$J106,$K106,$L106,$M106,$D106,$W106,IF(NOT($H106),TRUE,FALSE)),"")</f>
        <v>2.9771729805542352E-3</v>
      </c>
      <c r="AE106" s="12"/>
      <c r="AF106" s="12"/>
      <c r="AG106" s="12"/>
      <c r="AH106" s="14"/>
      <c r="AI106" s="14"/>
      <c r="AJ106" s="14"/>
      <c r="AK106" s="246">
        <f>IF(ISNUMBER($D106),_xll.xlBondAswSpread($F106&amp;T(TYPE($AV$1)),$H106,$G106,$J106,$K106,$L106,$M106,$D106,$W106,IF(NOT($H106),TRUE,FALSE),curveName,curveName,,,2),"")</f>
        <v>-4.5371921652451415E-2</v>
      </c>
      <c r="AL106" s="213">
        <f>IF($W106&gt;0,_xll.xlBondZSpread(F106&amp;T(TYPE($AV$1)),H106,G106,J106,K106,L106,M106,D106,U106,"annual",5,IF(NOT($H106),TRUE,FALSE),curveName)*100,"")</f>
        <v>-4.6152574297593683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4" t="str">
        <f>IF($AN$9+(($AL$9-$AM$9))*('DB Basis'!F266/10-'DB Basis'!E266),," ")</f>
        <v xml:space="preserve"> </v>
      </c>
      <c r="AO106" s="639">
        <f>IF(U106&gt;0,_xll.xlShmImplSwap2(curveName&amp;T(TYPE($AV$1)),curveName,D106,G106,,1,8,2,4),"")</f>
        <v>3.4417384657412313E-3</v>
      </c>
      <c r="AP106" s="640">
        <f t="shared" si="13"/>
        <v>-4.6456548518699617E-4</v>
      </c>
      <c r="AQ106" s="386">
        <f t="shared" si="14"/>
        <v>24.359745171762334</v>
      </c>
      <c r="AR106" s="386">
        <f t="shared" si="15"/>
        <v>6.9622489288696032</v>
      </c>
      <c r="AS106" s="388"/>
      <c r="AT106" s="242">
        <f t="shared" si="16"/>
        <v>0.29363897890397933</v>
      </c>
      <c r="AU106" s="686" t="str">
        <f t="shared" si="10"/>
        <v>SPGB  31-Oct-22  0.45</v>
      </c>
      <c r="AV106" s="702"/>
      <c r="AW106" s="684"/>
      <c r="AX106" s="684"/>
      <c r="AY106" s="684"/>
      <c r="AZ106" s="684"/>
      <c r="BA106" s="684"/>
      <c r="BB106" s="682"/>
      <c r="BC106" s="696"/>
      <c r="BE106" s="706">
        <f>_xll.xlDateShiftMonth(BE105,1)</f>
        <v>46081</v>
      </c>
      <c r="BF106" s="707">
        <v>1.6080123559360306E-2</v>
      </c>
      <c r="BU106" s="133" t="s">
        <v>599</v>
      </c>
      <c r="BV106" s="133" t="s">
        <v>599</v>
      </c>
      <c r="BW106" s="133" t="s">
        <v>599</v>
      </c>
      <c r="BX106" s="133" t="s">
        <v>599</v>
      </c>
      <c r="BY106" s="133" t="s">
        <v>599</v>
      </c>
      <c r="BZ106" s="133" t="s">
        <v>599</v>
      </c>
      <c r="CA106" s="133" t="s">
        <v>599</v>
      </c>
      <c r="CB106" s="133" t="s">
        <v>599</v>
      </c>
      <c r="CC106" s="133" t="s">
        <v>599</v>
      </c>
      <c r="CD106" s="133" t="s">
        <v>599</v>
      </c>
      <c r="CE106" s="133" t="s">
        <v>599</v>
      </c>
      <c r="CF106" s="133" t="s">
        <v>599</v>
      </c>
    </row>
    <row r="107" spans="1:84">
      <c r="A107" s="10"/>
      <c r="B107" s="11"/>
      <c r="C107" s="12"/>
      <c r="D107" s="720">
        <f>MAX(_xll.xlDateSettle("TARGET",$D$4,2),L107)</f>
        <v>43179</v>
      </c>
      <c r="E107" s="718" t="s">
        <v>832</v>
      </c>
      <c r="F107" s="13" t="s">
        <v>1329</v>
      </c>
      <c r="G107" s="35">
        <v>44957</v>
      </c>
      <c r="H107" s="37">
        <v>5.4</v>
      </c>
      <c r="I107" s="11">
        <v>44957</v>
      </c>
      <c r="J107" s="11">
        <v>41303</v>
      </c>
      <c r="K107" s="11">
        <v>41670</v>
      </c>
      <c r="L107" s="11">
        <v>41303</v>
      </c>
      <c r="M107" s="12">
        <v>99.991</v>
      </c>
      <c r="N107" s="12" t="s">
        <v>1365</v>
      </c>
      <c r="O107" s="12" t="s">
        <v>1178</v>
      </c>
      <c r="P107" s="12" t="s">
        <v>1366</v>
      </c>
      <c r="Q107" s="15">
        <v>21666516000</v>
      </c>
      <c r="R107" s="12"/>
      <c r="S107" s="43">
        <f>_xll.RtGet("IDN",$X107,$S$9)</f>
        <v>124.32900000000001</v>
      </c>
      <c r="T107" s="43">
        <f>_xll.RtGet("IDN",$X107,$T$9)</f>
        <v>124.37100000000001</v>
      </c>
      <c r="U107" s="25">
        <f t="shared" si="18"/>
        <v>124.35000000000001</v>
      </c>
      <c r="V107" s="12"/>
      <c r="W107" s="25">
        <f t="shared" si="11"/>
        <v>124.35000000000001</v>
      </c>
      <c r="X107" s="14" t="str">
        <f t="shared" si="12"/>
        <v>ES0000123U=</v>
      </c>
      <c r="Y107" s="14"/>
      <c r="Z107" s="14"/>
      <c r="AA107" s="14"/>
      <c r="AB107" s="14"/>
      <c r="AC107" s="14"/>
      <c r="AD107" s="34">
        <f>IF(ISNUMBER($D107),_xll.xlBondYield($F107,$H107,$G107,$J107,$K107,$L107,$M107,$D107,$W107,IF(NOT($H107),TRUE,FALSE)),"")</f>
        <v>3.4715879206827713E-3</v>
      </c>
      <c r="AE107" s="12"/>
      <c r="AF107" s="12"/>
      <c r="AG107" s="12"/>
      <c r="AH107" s="14"/>
      <c r="AI107" s="14"/>
      <c r="AJ107" s="14"/>
      <c r="AK107" s="246">
        <f>IF(ISNUMBER($D107),_xll.xlBondAswSpread($F107&amp;T(TYPE($AV$1)),$H107,$G107,$J107,$K107,$L107,$M107,$D107,$W107,IF(NOT($H107),TRUE,FALSE),curveName,curveName,,,2),"")</f>
        <v>-1.2815695866762249E-2</v>
      </c>
      <c r="AL107" s="213">
        <f>IF($W107&gt;0,_xll.xlBondZSpread(F107&amp;T(TYPE($AV$1)),H107,G107,J107,K107,L107,M107,D107,U107,"annual",5,IF(NOT($H107),TRUE,FALSE),curveName)*100,"")</f>
        <v>-1.1416278617980427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4" t="str">
        <f>IF($AN$9+(($AL$9-$AM$9))*('DB Basis'!F267/10-'DB Basis'!E267),," ")</f>
        <v xml:space="preserve"> </v>
      </c>
      <c r="AO107" s="639">
        <f>IF(U107&gt;0,_xll.xlShmImplSwap2(curveName&amp;T(TYPE($AV$1)),curveName,D107,G107,,1,8,2,4),"")</f>
        <v>3.89060519462527E-3</v>
      </c>
      <c r="AP107" s="640">
        <f t="shared" si="13"/>
        <v>-4.1901727394249872E-4</v>
      </c>
      <c r="AQ107" s="386">
        <f t="shared" si="14"/>
        <v>19.615375342056051</v>
      </c>
      <c r="AR107" s="386">
        <f t="shared" si="15"/>
        <v>1.8070757722001705</v>
      </c>
      <c r="AS107" s="388"/>
      <c r="AT107" s="242">
        <f t="shared" si="16"/>
        <v>0.34240319217693088</v>
      </c>
      <c r="AU107" s="686" t="str">
        <f t="shared" si="10"/>
        <v>SPGB  31-Jan-23  5.4</v>
      </c>
      <c r="AV107" s="702"/>
      <c r="AW107" s="684"/>
      <c r="AX107" s="684"/>
      <c r="AY107" s="684"/>
      <c r="AZ107" s="684"/>
      <c r="BA107" s="684"/>
      <c r="BB107" s="682"/>
      <c r="BC107" s="696"/>
      <c r="BE107" s="706">
        <f>_xll.xlDateShiftMonth(BE106,1)</f>
        <v>46109</v>
      </c>
      <c r="BF107" s="707">
        <v>1.6216177536782173E-2</v>
      </c>
      <c r="BU107" s="133" t="s">
        <v>599</v>
      </c>
      <c r="BV107" s="133" t="s">
        <v>599</v>
      </c>
      <c r="BW107" s="133" t="s">
        <v>599</v>
      </c>
      <c r="BX107" s="133" t="s">
        <v>599</v>
      </c>
      <c r="BY107" s="133" t="s">
        <v>599</v>
      </c>
      <c r="BZ107" s="133" t="s">
        <v>599</v>
      </c>
      <c r="CA107" s="133" t="s">
        <v>599</v>
      </c>
      <c r="CB107" s="133" t="s">
        <v>599</v>
      </c>
      <c r="CC107" s="133" t="s">
        <v>599</v>
      </c>
      <c r="CD107" s="133" t="s">
        <v>599</v>
      </c>
      <c r="CE107" s="133" t="s">
        <v>599</v>
      </c>
      <c r="CF107" s="133" t="s">
        <v>599</v>
      </c>
    </row>
    <row r="108" spans="1:84">
      <c r="A108" s="17"/>
      <c r="B108" s="16"/>
      <c r="C108" s="18"/>
      <c r="D108" s="720">
        <f>MAX(_xll.xlDateSettle("TARGET",$D$4,2),L108)</f>
        <v>43179</v>
      </c>
      <c r="E108" s="718" t="s">
        <v>833</v>
      </c>
      <c r="F108" s="13" t="s">
        <v>1329</v>
      </c>
      <c r="G108" s="35">
        <v>45230</v>
      </c>
      <c r="H108" s="37">
        <v>4.4000000000000004</v>
      </c>
      <c r="I108" s="11">
        <v>45230</v>
      </c>
      <c r="J108" s="11">
        <v>41415</v>
      </c>
      <c r="K108" s="11">
        <v>41578</v>
      </c>
      <c r="L108" s="11">
        <v>41415</v>
      </c>
      <c r="M108" s="12">
        <v>99.596000000000004</v>
      </c>
      <c r="N108" s="12" t="s">
        <v>1367</v>
      </c>
      <c r="O108" s="12" t="s">
        <v>1178</v>
      </c>
      <c r="P108" s="12" t="s">
        <v>1368</v>
      </c>
      <c r="Q108" s="15">
        <v>21073190000</v>
      </c>
      <c r="R108" s="12"/>
      <c r="S108" s="43">
        <f>_xll.RtGet("IDN",$X108,$S$9)</f>
        <v>121.501</v>
      </c>
      <c r="T108" s="43">
        <f>_xll.RtGet("IDN",$X108,$T$9)</f>
        <v>121.54600000000001</v>
      </c>
      <c r="U108" s="25">
        <f t="shared" si="18"/>
        <v>121.52350000000001</v>
      </c>
      <c r="V108" s="12"/>
      <c r="W108" s="25">
        <f t="shared" si="11"/>
        <v>121.52350000000001</v>
      </c>
      <c r="X108" s="14" t="str">
        <f t="shared" si="12"/>
        <v>ES0000123X=</v>
      </c>
      <c r="Y108" s="14"/>
      <c r="Z108" s="14"/>
      <c r="AA108" s="14"/>
      <c r="AB108" s="14"/>
      <c r="AC108" s="14"/>
      <c r="AD108" s="34">
        <f>IF(ISNUMBER($D108),_xll.xlBondYield($F108,$H108,$G108,$J108,$K108,$L108,$M108,$D108,$W108,IF(NOT($H108),TRUE,FALSE)),"")</f>
        <v>5.0321976306961017E-3</v>
      </c>
      <c r="AE108" s="12"/>
      <c r="AF108" s="12"/>
      <c r="AG108" s="12"/>
      <c r="AH108" s="14"/>
      <c r="AI108" s="14"/>
      <c r="AJ108" s="14"/>
      <c r="AK108" s="246">
        <f>IF(ISNUMBER($D108),_xll.xlBondAswSpread($F108&amp;T(TYPE($AV$1)),$H108,$G108,$J108,$K108,$L108,$M108,$D108,$W108,IF(NOT($H108),TRUE,FALSE),curveName,curveName,,,2),"")</f>
        <v>3.1782865629936791E-2</v>
      </c>
      <c r="AL108" s="213">
        <f>IF($W108&gt;0,_xll.xlBondZSpread(F108&amp;T(TYPE($AV$1)),H108,G108,J108,K108,L108,M108,D108,U108,"annual",5,IF(NOT($H108),TRUE,FALSE),curveName)*100,"")</f>
        <v>2.883156249445165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4" t="str">
        <f>IF($AN$9+(($AL$9-$AM$9))*('DB Basis'!F268/10-'DB Basis'!E268),," ")</f>
        <v xml:space="preserve"> </v>
      </c>
      <c r="AO108" s="639">
        <f>IF(U108&gt;0,_xll.xlShmImplSwap2(curveName&amp;T(TYPE($AV$1)),curveName,D108,G108,,1,8,2,4),"")</f>
        <v>5.0526994640331035E-3</v>
      </c>
      <c r="AP108" s="640">
        <f t="shared" si="13"/>
        <v>-2.0501833337001861E-5</v>
      </c>
      <c r="AQ108" s="386">
        <f t="shared" si="14"/>
        <v>20.865294657687382</v>
      </c>
      <c r="AR108" s="386">
        <f t="shared" si="15"/>
        <v>5.3281368432603058</v>
      </c>
      <c r="AS108" s="388"/>
      <c r="AT108" s="242">
        <f t="shared" si="16"/>
        <v>0.49632634165769768</v>
      </c>
      <c r="AU108" s="686" t="str">
        <f t="shared" si="10"/>
        <v>SPGB  31-Oct-23  4.4</v>
      </c>
      <c r="AV108" s="702"/>
      <c r="AW108" s="684"/>
      <c r="AX108" s="684"/>
      <c r="AY108" s="684"/>
      <c r="AZ108" s="684"/>
      <c r="BA108" s="684"/>
      <c r="BB108" s="682"/>
      <c r="BC108" s="696"/>
      <c r="BE108" s="706">
        <f>_xll.xlDateShiftMonth(BE107,1)</f>
        <v>46140</v>
      </c>
      <c r="BF108" s="707">
        <v>1.636389179893397E-2</v>
      </c>
      <c r="BU108" s="133" t="s">
        <v>599</v>
      </c>
      <c r="BV108" s="133" t="s">
        <v>599</v>
      </c>
      <c r="BW108" s="133" t="s">
        <v>599</v>
      </c>
      <c r="BX108" s="133" t="s">
        <v>599</v>
      </c>
      <c r="BY108" s="133" t="s">
        <v>599</v>
      </c>
      <c r="BZ108" s="133" t="s">
        <v>599</v>
      </c>
      <c r="CA108" s="133" t="s">
        <v>599</v>
      </c>
      <c r="CB108" s="133" t="s">
        <v>599</v>
      </c>
      <c r="CC108" s="133" t="s">
        <v>599</v>
      </c>
      <c r="CD108" s="133" t="s">
        <v>599</v>
      </c>
      <c r="CE108" s="133" t="s">
        <v>599</v>
      </c>
      <c r="CF108" s="133" t="s">
        <v>599</v>
      </c>
    </row>
    <row r="109" spans="1:84">
      <c r="A109" s="10"/>
      <c r="B109" s="11"/>
      <c r="C109" s="12"/>
      <c r="D109" s="720">
        <f>MAX(_xll.xlDateSettle("TARGET",$D$4,2),L109)</f>
        <v>43179</v>
      </c>
      <c r="E109" s="718" t="s">
        <v>834</v>
      </c>
      <c r="F109" s="13" t="s">
        <v>1334</v>
      </c>
      <c r="G109" s="35">
        <v>45322</v>
      </c>
      <c r="H109" s="37">
        <v>4.8</v>
      </c>
      <c r="I109" s="11">
        <v>45322</v>
      </c>
      <c r="J109" s="11">
        <v>39707</v>
      </c>
      <c r="K109" s="11">
        <v>39844</v>
      </c>
      <c r="L109" s="11">
        <v>39707</v>
      </c>
      <c r="M109" s="12">
        <v>98.753</v>
      </c>
      <c r="N109" s="12" t="s">
        <v>1369</v>
      </c>
      <c r="O109" s="12" t="s">
        <v>1178</v>
      </c>
      <c r="P109" s="12" t="s">
        <v>1370</v>
      </c>
      <c r="Q109" s="15">
        <v>17564670000</v>
      </c>
      <c r="R109" s="12"/>
      <c r="S109" s="43">
        <f>_xll.RtGet("IDN",$X109,$S$9)</f>
        <v>124.313</v>
      </c>
      <c r="T109" s="43">
        <f>_xll.RtGet("IDN",$X109,$T$9)</f>
        <v>124.37400000000001</v>
      </c>
      <c r="U109" s="25">
        <f t="shared" si="18"/>
        <v>124.34350000000001</v>
      </c>
      <c r="V109" s="12"/>
      <c r="W109" s="25">
        <f t="shared" si="11"/>
        <v>124.34350000000001</v>
      </c>
      <c r="X109" s="14" t="str">
        <f t="shared" si="12"/>
        <v>ES0000121G=</v>
      </c>
      <c r="Y109" s="14"/>
      <c r="Z109" s="14"/>
      <c r="AA109" s="14"/>
      <c r="AB109" s="14"/>
      <c r="AC109" s="14"/>
      <c r="AD109" s="34">
        <f>IF(ISNUMBER($D109),_xll.xlBondYield($F109,$H109,$G109,$J109,$K109,$L109,$M109,$D109,$W109,IF(NOT($H109),TRUE,FALSE)),"")</f>
        <v>5.6998686662036099E-3</v>
      </c>
      <c r="AE109" s="12"/>
      <c r="AF109" s="12"/>
      <c r="AG109" s="12"/>
      <c r="AH109" s="14"/>
      <c r="AI109" s="14"/>
      <c r="AJ109" s="14"/>
      <c r="AK109" s="246">
        <f>IF(ISNUMBER($D109),_xll.xlBondAswSpread($F109&amp;T(TYPE($AV$1)),$H109,$G109,$J109,$K109,$L109,$M109,$D109,$W109,IF(NOT($H109),TRUE,FALSE),curveName,curveName,,,2),"")</f>
        <v>6.9035707862492926E-2</v>
      </c>
      <c r="AL109" s="213">
        <f>IF($W109&gt;0,_xll.xlBondZSpread(F109&amp;T(TYPE($AV$1)),H109,G109,J109,K109,L109,M109,D109,U109,"annual",5,IF(NOT($H109),TRUE,FALSE),curveName)*100,"")</f>
        <v>6.1838066010459443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4" t="str">
        <f>IF($AN$9+(($AL$9-$AM$9))*('DB Basis'!F269/10-'DB Basis'!E269),," ")</f>
        <v xml:space="preserve"> </v>
      </c>
      <c r="AO109" s="639">
        <f>IF(U109&gt;0,_xll.xlShmImplSwap2(curveName&amp;T(TYPE($AV$1)),curveName,D109,G109,,1,8,2,4),"")</f>
        <v>5.43710708345394E-3</v>
      </c>
      <c r="AP109" s="640">
        <f t="shared" si="13"/>
        <v>2.6276158274966994E-4</v>
      </c>
      <c r="AQ109" s="386">
        <f t="shared" si="14"/>
        <v>26.489122604373971</v>
      </c>
      <c r="AR109" s="386">
        <f t="shared" si="15"/>
        <v>11.238168138221218</v>
      </c>
      <c r="AS109" s="388"/>
      <c r="AT109" s="242">
        <f t="shared" si="16"/>
        <v>0.56217882735158897</v>
      </c>
      <c r="AU109" s="686" t="str">
        <f t="shared" si="10"/>
        <v>EURO12M  31-Jan-24  4.8</v>
      </c>
      <c r="AV109" s="702"/>
      <c r="AW109" s="684"/>
      <c r="AX109" s="684"/>
      <c r="AY109" s="684"/>
      <c r="AZ109" s="684"/>
      <c r="BA109" s="684"/>
      <c r="BB109" s="682"/>
      <c r="BC109" s="696"/>
      <c r="BE109" s="706">
        <f>_xll.xlDateShiftMonth(BE108,1)</f>
        <v>46170</v>
      </c>
      <c r="BF109" s="707">
        <v>1.6504012589282933E-2</v>
      </c>
      <c r="BU109" s="133" t="s">
        <v>599</v>
      </c>
      <c r="BV109" s="133" t="s">
        <v>599</v>
      </c>
      <c r="BW109" s="133" t="s">
        <v>599</v>
      </c>
      <c r="BX109" s="133" t="s">
        <v>599</v>
      </c>
      <c r="BY109" s="133" t="s">
        <v>599</v>
      </c>
      <c r="BZ109" s="133" t="s">
        <v>599</v>
      </c>
      <c r="CA109" s="133" t="s">
        <v>599</v>
      </c>
      <c r="CB109" s="133" t="s">
        <v>599</v>
      </c>
      <c r="CC109" s="133" t="s">
        <v>599</v>
      </c>
      <c r="CD109" s="133" t="s">
        <v>599</v>
      </c>
      <c r="CE109" s="133" t="s">
        <v>599</v>
      </c>
      <c r="CF109" s="133" t="s">
        <v>599</v>
      </c>
    </row>
    <row r="110" spans="1:84">
      <c r="A110" s="17"/>
      <c r="B110" s="16"/>
      <c r="C110" s="18"/>
      <c r="D110" s="720">
        <f>MAX(_xll.xlDateSettle("TARGET",$D$4,2),L110)</f>
        <v>43179</v>
      </c>
      <c r="E110" s="718" t="s">
        <v>813</v>
      </c>
      <c r="F110" s="13" t="s">
        <v>1329</v>
      </c>
      <c r="G110" s="35">
        <v>45412</v>
      </c>
      <c r="H110" s="37">
        <v>3.8</v>
      </c>
      <c r="I110" s="11">
        <v>45412</v>
      </c>
      <c r="J110" s="11">
        <v>41668</v>
      </c>
      <c r="K110" s="11">
        <v>41759</v>
      </c>
      <c r="L110" s="11">
        <v>41668</v>
      </c>
      <c r="M110" s="12">
        <v>99.638000000000005</v>
      </c>
      <c r="N110" s="12" t="s">
        <v>1371</v>
      </c>
      <c r="O110" s="12" t="s">
        <v>1197</v>
      </c>
      <c r="P110" s="12" t="s">
        <v>1372</v>
      </c>
      <c r="Q110" s="15">
        <v>21185840000</v>
      </c>
      <c r="R110" s="12"/>
      <c r="S110" s="43">
        <f>_xll.RtGet("IDN",$X110,$S$9)</f>
        <v>118.843</v>
      </c>
      <c r="T110" s="43">
        <f>_xll.RtGet("IDN",$X110,$T$9)</f>
        <v>118.9</v>
      </c>
      <c r="U110" s="25">
        <f t="shared" si="18"/>
        <v>118.8715</v>
      </c>
      <c r="V110" s="12"/>
      <c r="W110" s="25">
        <f t="shared" si="11"/>
        <v>118.8715</v>
      </c>
      <c r="X110" s="14" t="str">
        <f t="shared" si="12"/>
        <v>ES0000124W=</v>
      </c>
      <c r="Y110" s="14"/>
      <c r="Z110" s="14"/>
      <c r="AA110" s="14"/>
      <c r="AB110" s="14"/>
      <c r="AC110" s="14"/>
      <c r="AD110" s="34">
        <f>IF(ISNUMBER($D110),_xll.xlBondYield($F110,$H110,$G110,$J110,$K110,$L110,$M110,$D110,$W110,IF(NOT($H110),TRUE,FALSE)),"")</f>
        <v>6.4148802860003115E-3</v>
      </c>
      <c r="AE110" s="12"/>
      <c r="AF110" s="12"/>
      <c r="AG110" s="12"/>
      <c r="AH110" s="14"/>
      <c r="AI110" s="14"/>
      <c r="AJ110" s="14"/>
      <c r="AK110" s="246">
        <f>IF(ISNUMBER($D110),_xll.xlBondAswSpread($F110&amp;T(TYPE($AV$1)),$H110,$G110,$J110,$K110,$L110,$M110,$D110,$W110,IF(NOT($H110),TRUE,FALSE),curveName,curveName,,,2),"")</f>
        <v>9.9624972161006839E-2</v>
      </c>
      <c r="AL110" s="213">
        <f>IF($W110&gt;0,_xll.xlBondZSpread(F110&amp;T(TYPE($AV$1)),H110,G110,J110,K110,L110,M110,D110,U110,"annual",5,IF(NOT($H110),TRUE,FALSE),curveName)*100,"")</f>
        <v>9.1958669909945474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4" t="str">
        <f>IF($AN$9+(($AL$9-$AM$9))*('DB Basis'!F270/10-'DB Basis'!E270),," ")</f>
        <v xml:space="preserve"> </v>
      </c>
      <c r="AO110" s="639">
        <f>IF(U110&gt;0,_xll.xlShmImplSwap2(curveName&amp;T(TYPE($AV$1)),curveName,D110,G110,,1,8,2,4),"")</f>
        <v>5.7932035110095951E-3</v>
      </c>
      <c r="AP110" s="640">
        <f t="shared" si="13"/>
        <v>6.2167677499071639E-4</v>
      </c>
      <c r="AQ110" s="386">
        <f t="shared" si="14"/>
        <v>28.997693469532898</v>
      </c>
      <c r="AR110" s="386">
        <f t="shared" si="15"/>
        <v>14.556005018664662</v>
      </c>
      <c r="AS110" s="388"/>
      <c r="AT110" s="242">
        <f t="shared" si="16"/>
        <v>0.63270052135893484</v>
      </c>
      <c r="AU110" s="686" t="str">
        <f t="shared" si="10"/>
        <v>SPGB  30-Apr-24  3.8</v>
      </c>
      <c r="AV110" s="702"/>
      <c r="AW110" s="684"/>
      <c r="AX110" s="684"/>
      <c r="AY110" s="684"/>
      <c r="AZ110" s="684"/>
      <c r="BA110" s="684"/>
      <c r="BB110" s="682"/>
      <c r="BC110" s="696"/>
      <c r="BE110" s="706">
        <f>_xll.xlDateShiftMonth(BE109,1)</f>
        <v>46201</v>
      </c>
      <c r="BF110" s="707">
        <v>1.6645977456833192E-2</v>
      </c>
      <c r="BU110" s="133" t="s">
        <v>599</v>
      </c>
      <c r="BV110" s="133" t="s">
        <v>599</v>
      </c>
      <c r="BW110" s="133" t="s">
        <v>599</v>
      </c>
      <c r="BX110" s="133" t="s">
        <v>599</v>
      </c>
      <c r="BY110" s="133" t="s">
        <v>599</v>
      </c>
      <c r="BZ110" s="133" t="s">
        <v>599</v>
      </c>
      <c r="CA110" s="133" t="s">
        <v>599</v>
      </c>
      <c r="CB110" s="133" t="s">
        <v>599</v>
      </c>
      <c r="CC110" s="133" t="s">
        <v>599</v>
      </c>
      <c r="CD110" s="133" t="s">
        <v>599</v>
      </c>
      <c r="CE110" s="133" t="s">
        <v>599</v>
      </c>
      <c r="CF110" s="133" t="s">
        <v>599</v>
      </c>
    </row>
    <row r="111" spans="1:84">
      <c r="A111" s="10"/>
      <c r="B111" s="11"/>
      <c r="C111" s="12"/>
      <c r="D111" s="720">
        <f>MAX(_xll.xlDateSettle("TARGET",$D$4,2),L111)</f>
        <v>43179</v>
      </c>
      <c r="E111" s="718" t="s">
        <v>835</v>
      </c>
      <c r="F111" s="13" t="s">
        <v>1329</v>
      </c>
      <c r="G111" s="35">
        <v>45596</v>
      </c>
      <c r="H111" s="37">
        <v>2.75</v>
      </c>
      <c r="I111" s="11">
        <v>45596</v>
      </c>
      <c r="J111" s="11">
        <v>41810</v>
      </c>
      <c r="K111" s="11">
        <v>41943</v>
      </c>
      <c r="L111" s="11">
        <v>41810</v>
      </c>
      <c r="M111" s="12">
        <v>99.563999999999993</v>
      </c>
      <c r="N111" s="12" t="s">
        <v>1373</v>
      </c>
      <c r="O111" s="12" t="s">
        <v>1178</v>
      </c>
      <c r="P111" s="12" t="s">
        <v>1374</v>
      </c>
      <c r="Q111" s="15">
        <v>23500034000</v>
      </c>
      <c r="R111" s="12"/>
      <c r="S111" s="43">
        <f>_xll.RtGet("IDN",$X111,$S$9)</f>
        <v>113.07900000000001</v>
      </c>
      <c r="T111" s="43">
        <f>_xll.RtGet("IDN",$X111,$T$9)</f>
        <v>113.143</v>
      </c>
      <c r="U111" s="25">
        <f t="shared" si="18"/>
        <v>113.111</v>
      </c>
      <c r="V111" s="12"/>
      <c r="W111" s="25">
        <f t="shared" si="11"/>
        <v>113.111</v>
      </c>
      <c r="X111" s="14" t="str">
        <f t="shared" si="12"/>
        <v>ES0000126B=</v>
      </c>
      <c r="Y111" s="14"/>
      <c r="Z111" s="14"/>
      <c r="AA111" s="14"/>
      <c r="AB111" s="14"/>
      <c r="AC111" s="14"/>
      <c r="AD111" s="34">
        <f>IF(ISNUMBER($D111),_xll.xlBondYield($F111,$H111,$G111,$J111,$K111,$L111,$M111,$D111,$W111,IF(NOT($H111),TRUE,FALSE)),"")</f>
        <v>7.1381360469094934E-3</v>
      </c>
      <c r="AE111" s="12"/>
      <c r="AF111" s="12"/>
      <c r="AG111" s="12"/>
      <c r="AH111" s="14"/>
      <c r="AI111" s="14"/>
      <c r="AJ111" s="14"/>
      <c r="AK111" s="246">
        <f>IF(ISNUMBER($D111),_xll.xlBondAswSpread($F111&amp;T(TYPE($AV$1)),$H111,$G111,$J111,$K111,$L111,$M111,$D111,$W111,IF(NOT($H111),TRUE,FALSE),curveName,curveName,,,2),"")</f>
        <v>9.4666212322436674E-2</v>
      </c>
      <c r="AL111" s="213">
        <f>IF($W111&gt;0,_xll.xlBondZSpread(F111&amp;T(TYPE($AV$1)),H111,G111,J111,K111,L111,M111,D111,U111,"annual",5,IF(NOT($H111),TRUE,FALSE),curveName)*100,"")</f>
        <v>9.0305648688809033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4" t="str">
        <f>IF($AN$9+(($AL$9-$AM$9))*('DB Basis'!F271/10-'DB Basis'!E271),," ")</f>
        <v xml:space="preserve"> </v>
      </c>
      <c r="AO111" s="639">
        <f>IF(U111&gt;0,_xll.xlShmImplSwap2(curveName&amp;T(TYPE($AV$1)),curveName,D111,G111,,1,8,2,4),"")</f>
        <v>6.4593675723776701E-3</v>
      </c>
      <c r="AP111" s="640">
        <f t="shared" si="13"/>
        <v>6.7876847453182329E-4</v>
      </c>
      <c r="AQ111" s="386">
        <f t="shared" si="14"/>
        <v>14.347193083252794</v>
      </c>
      <c r="AR111" s="386">
        <f t="shared" si="15"/>
        <v>1.1325255615491312</v>
      </c>
      <c r="AS111" s="388"/>
      <c r="AT111" s="242">
        <f t="shared" si="16"/>
        <v>0.70403533613353908</v>
      </c>
      <c r="AU111" s="686" t="str">
        <f t="shared" si="10"/>
        <v>SPGB  31-Oct-24  2.75</v>
      </c>
      <c r="AV111" s="702"/>
      <c r="AW111" s="684"/>
      <c r="AX111" s="684"/>
      <c r="AY111" s="684"/>
      <c r="AZ111" s="684"/>
      <c r="BA111" s="684"/>
      <c r="BB111" s="682"/>
      <c r="BC111" s="696"/>
      <c r="BE111" s="706">
        <f>_xll.xlDateShiftMonth(BE110,1)</f>
        <v>46231</v>
      </c>
      <c r="BF111" s="707">
        <v>1.6780719427288981E-2</v>
      </c>
      <c r="BU111" s="133" t="s">
        <v>599</v>
      </c>
      <c r="BV111" s="133" t="s">
        <v>599</v>
      </c>
      <c r="BW111" s="133" t="s">
        <v>599</v>
      </c>
      <c r="BX111" s="133" t="s">
        <v>599</v>
      </c>
      <c r="BY111" s="133" t="s">
        <v>599</v>
      </c>
      <c r="BZ111" s="133" t="s">
        <v>599</v>
      </c>
      <c r="CA111" s="133" t="s">
        <v>599</v>
      </c>
      <c r="CB111" s="133" t="s">
        <v>599</v>
      </c>
      <c r="CC111" s="133" t="s">
        <v>599</v>
      </c>
      <c r="CD111" s="133" t="s">
        <v>599</v>
      </c>
      <c r="CE111" s="133" t="s">
        <v>599</v>
      </c>
      <c r="CF111" s="133" t="s">
        <v>599</v>
      </c>
    </row>
    <row r="112" spans="1:84">
      <c r="A112" s="17"/>
      <c r="B112" s="16"/>
      <c r="C112" s="18"/>
      <c r="D112" s="720">
        <f>MAX(_xll.xlDateSettle("TARGET",$D$4,2),L112)</f>
        <v>43179</v>
      </c>
      <c r="E112" s="718" t="s">
        <v>772</v>
      </c>
      <c r="F112" s="13" t="s">
        <v>1329</v>
      </c>
      <c r="G112" s="35">
        <v>45777</v>
      </c>
      <c r="H112" s="37">
        <v>1.6</v>
      </c>
      <c r="I112" s="11">
        <v>45777</v>
      </c>
      <c r="J112" s="11">
        <v>42031</v>
      </c>
      <c r="K112" s="11">
        <v>42124</v>
      </c>
      <c r="L112" s="11">
        <v>42031</v>
      </c>
      <c r="M112" s="12">
        <v>999</v>
      </c>
      <c r="N112" s="12" t="s">
        <v>1375</v>
      </c>
      <c r="O112" s="12" t="s">
        <v>1197</v>
      </c>
      <c r="P112" s="12" t="s">
        <v>1376</v>
      </c>
      <c r="Q112" s="15">
        <v>19795109000</v>
      </c>
      <c r="R112" s="12"/>
      <c r="S112" s="43">
        <f>_xll.RtGet("IDN",$X112,$S$9)</f>
        <v>105.373</v>
      </c>
      <c r="T112" s="43">
        <f>_xll.RtGet("IDN",$X112,$T$9)</f>
        <v>105.428</v>
      </c>
      <c r="U112" s="25">
        <f t="shared" si="18"/>
        <v>105.40049999999999</v>
      </c>
      <c r="V112" s="12"/>
      <c r="W112" s="25">
        <f t="shared" si="11"/>
        <v>105.40049999999999</v>
      </c>
      <c r="X112" s="14" t="str">
        <f t="shared" si="12"/>
        <v>ES0000126Z=</v>
      </c>
      <c r="Y112" s="14"/>
      <c r="Z112" s="14"/>
      <c r="AA112" s="14"/>
      <c r="AB112" s="14"/>
      <c r="AC112" s="14"/>
      <c r="AD112" s="34">
        <f>IF(ISNUMBER($D112),_xll.xlBondYield($F112,$H112,$G112,$J112,$K112,$L112,$M112,$D112,$W112,IF(NOT($H112),TRUE,FALSE)),"")</f>
        <v>8.1525217243102691E-3</v>
      </c>
      <c r="AE112" s="12"/>
      <c r="AF112" s="12"/>
      <c r="AG112" s="12"/>
      <c r="AH112" s="14"/>
      <c r="AI112" s="14"/>
      <c r="AJ112" s="14"/>
      <c r="AK112" s="246">
        <f>IF(ISNUMBER($D112),_xll.xlBondAswSpread($F112&amp;T(TYPE($AV$1)),$H112,$G112,$J112,$K112,$L112,$M112,$D112,$W112,IF(NOT($H112),TRUE,FALSE),curveName,curveName,,,2),"")</f>
        <v>0.11601194852918351</v>
      </c>
      <c r="AL112" s="213">
        <f>IF($W112&gt;0,_xll.xlBondZSpread(F112&amp;T(TYPE($AV$1)),H112,G112,J112,K112,L112,M112,D112,U112,"annual",5,IF(NOT($H112),TRUE,FALSE),curveName)*100,"")</f>
        <v>11.573963854199977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4" t="str">
        <f>IF($AN$9+(($AL$9-$AM$9))*('DB Basis'!F272/10-'DB Basis'!E272),," ")</f>
        <v xml:space="preserve"> </v>
      </c>
      <c r="AO112" s="639">
        <f>IF(U112&gt;0,_xll.xlShmImplSwap2(curveName&amp;T(TYPE($AV$1)),curveName,D112,G112,,1,8,2,4),"")</f>
        <v>7.1071792637442052E-3</v>
      </c>
      <c r="AP112" s="640">
        <f t="shared" si="13"/>
        <v>1.0453424605660639E-3</v>
      </c>
      <c r="AQ112" s="386">
        <f t="shared" si="14"/>
        <v>20.455843770789123</v>
      </c>
      <c r="AR112" s="386">
        <f t="shared" si="15"/>
        <v>7.3922378399170077</v>
      </c>
      <c r="AS112" s="388"/>
      <c r="AT112" s="242">
        <f t="shared" si="16"/>
        <v>0.8040843344525197</v>
      </c>
      <c r="AU112" s="686" t="str">
        <f t="shared" si="10"/>
        <v>SPGB  30-Apr-25  1.6</v>
      </c>
      <c r="AV112" s="702"/>
      <c r="AW112" s="684"/>
      <c r="AX112" s="684"/>
      <c r="AY112" s="684"/>
      <c r="AZ112" s="684"/>
      <c r="BA112" s="684"/>
      <c r="BB112" s="682"/>
      <c r="BC112" s="696"/>
      <c r="BE112" s="706">
        <f>_xll.xlDateShiftMonth(BE111,1)</f>
        <v>46262</v>
      </c>
      <c r="BF112" s="707">
        <v>1.691731746166155E-2</v>
      </c>
      <c r="BU112" s="133" t="s">
        <v>599</v>
      </c>
      <c r="BV112" s="133" t="s">
        <v>599</v>
      </c>
      <c r="BW112" s="133" t="s">
        <v>599</v>
      </c>
      <c r="BX112" s="133" t="s">
        <v>599</v>
      </c>
      <c r="BY112" s="133" t="s">
        <v>599</v>
      </c>
      <c r="BZ112" s="133" t="s">
        <v>599</v>
      </c>
      <c r="CA112" s="133" t="s">
        <v>599</v>
      </c>
      <c r="CB112" s="133" t="s">
        <v>599</v>
      </c>
      <c r="CC112" s="133" t="s">
        <v>599</v>
      </c>
      <c r="CD112" s="133" t="s">
        <v>599</v>
      </c>
      <c r="CE112" s="133" t="s">
        <v>599</v>
      </c>
      <c r="CF112" s="133" t="s">
        <v>599</v>
      </c>
    </row>
    <row r="113" spans="1:84">
      <c r="A113" s="10"/>
      <c r="B113" s="11"/>
      <c r="C113" s="12"/>
      <c r="D113" s="720">
        <f>MAX(_xll.xlDateSettle("TARGET",$D$4,2),L113)</f>
        <v>43179</v>
      </c>
      <c r="E113" s="718" t="s">
        <v>773</v>
      </c>
      <c r="F113" s="13" t="s">
        <v>1329</v>
      </c>
      <c r="G113" s="35">
        <v>45868</v>
      </c>
      <c r="H113" s="37">
        <v>4.6500000000000004</v>
      </c>
      <c r="I113" s="11">
        <v>45868</v>
      </c>
      <c r="J113" s="11">
        <v>40233</v>
      </c>
      <c r="K113" s="11">
        <v>40389</v>
      </c>
      <c r="L113" s="11">
        <v>40233</v>
      </c>
      <c r="M113" s="12">
        <v>99.831000000000003</v>
      </c>
      <c r="N113" s="12" t="s">
        <v>1377</v>
      </c>
      <c r="O113" s="12" t="s">
        <v>1178</v>
      </c>
      <c r="P113" s="12" t="s">
        <v>1378</v>
      </c>
      <c r="Q113" s="15">
        <v>22903512000</v>
      </c>
      <c r="R113" s="12"/>
      <c r="S113" s="43">
        <f>_xll.RtGet("IDN",$X113,$S$9)</f>
        <v>127.086</v>
      </c>
      <c r="T113" s="43">
        <f>_xll.RtGet("IDN",$X113,$T$9)</f>
        <v>127.146</v>
      </c>
      <c r="U113" s="25">
        <f t="shared" si="18"/>
        <v>127.116</v>
      </c>
      <c r="V113" s="12"/>
      <c r="W113" s="25">
        <f t="shared" si="11"/>
        <v>127.116</v>
      </c>
      <c r="X113" s="14" t="str">
        <f t="shared" si="12"/>
        <v>ES0000122E=</v>
      </c>
      <c r="Y113" s="14"/>
      <c r="Z113" s="14"/>
      <c r="AA113" s="14"/>
      <c r="AB113" s="14"/>
      <c r="AC113" s="14"/>
      <c r="AD113" s="34">
        <f>IF(ISNUMBER($D113),_xll.xlBondYield($F113,$H113,$G113,$J113,$K113,$L113,$M113,$D113,$W113,IF(NOT($H113),TRUE,FALSE)),"")</f>
        <v>8.3602857675486517E-3</v>
      </c>
      <c r="AE113" s="12"/>
      <c r="AF113" s="12"/>
      <c r="AG113" s="12"/>
      <c r="AH113" s="14"/>
      <c r="AI113" s="14"/>
      <c r="AJ113" s="14"/>
      <c r="AK113" s="246">
        <f>IF(ISNUMBER($D113),_xll.xlBondAswSpread($F113&amp;T(TYPE($AV$1)),$H113,$G113,$J113,$K113,$L113,$M113,$D113,$W113,IF(NOT($H113),TRUE,FALSE),curveName,curveName,,,2),"")</f>
        <v>0.15916460387120965</v>
      </c>
      <c r="AL113" s="213">
        <f>IF($W113&gt;0,_xll.xlBondZSpread(F113&amp;T(TYPE($AV$1)),H113,G113,J113,K113,L113,M113,D113,U113,"annual",5,IF(NOT($H113),TRUE,FALSE),curveName)*100,"")</f>
        <v>14.158726266272426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4" t="str">
        <f>IF($AN$9+(($AL$9-$AM$9))*('DB Basis'!F273/10-'DB Basis'!E273),," ")</f>
        <v xml:space="preserve"> </v>
      </c>
      <c r="AO113" s="639">
        <f>IF(U113&gt;0,_xll.xlShmImplSwap2(curveName&amp;T(TYPE($AV$1)),curveName,D113,G113,,1,8,2,4),"")</f>
        <v>7.3997720151559891E-3</v>
      </c>
      <c r="AP113" s="640">
        <f t="shared" si="13"/>
        <v>9.6051375239266257E-4</v>
      </c>
      <c r="AQ113" s="386">
        <f t="shared" si="14"/>
        <v>8.3333929430779801</v>
      </c>
      <c r="AR113" s="386">
        <f t="shared" si="15"/>
        <v>-3.4024701629990641</v>
      </c>
      <c r="AS113" s="388"/>
      <c r="AT113" s="242">
        <f t="shared" si="16"/>
        <v>0.8245761304979492</v>
      </c>
      <c r="AU113" s="686" t="str">
        <f t="shared" si="10"/>
        <v>SPGB  30-Jul-25  4.65</v>
      </c>
      <c r="AV113" s="702"/>
      <c r="AW113" s="684"/>
      <c r="AX113" s="684"/>
      <c r="AY113" s="684"/>
      <c r="AZ113" s="684"/>
      <c r="BA113" s="684"/>
      <c r="BB113" s="682"/>
      <c r="BC113" s="696"/>
      <c r="BE113" s="706">
        <f>_xll.xlDateShiftMonth(BE112,1)</f>
        <v>46293</v>
      </c>
      <c r="BF113" s="707">
        <v>1.7051334698144148E-2</v>
      </c>
      <c r="BU113" s="133" t="s">
        <v>599</v>
      </c>
      <c r="BV113" s="133" t="s">
        <v>599</v>
      </c>
      <c r="BW113" s="133" t="s">
        <v>599</v>
      </c>
      <c r="BX113" s="133" t="s">
        <v>599</v>
      </c>
      <c r="BY113" s="133" t="s">
        <v>599</v>
      </c>
      <c r="BZ113" s="133" t="s">
        <v>599</v>
      </c>
      <c r="CA113" s="133" t="s">
        <v>599</v>
      </c>
      <c r="CB113" s="133" t="s">
        <v>599</v>
      </c>
      <c r="CC113" s="133" t="s">
        <v>599</v>
      </c>
      <c r="CD113" s="133" t="s">
        <v>599</v>
      </c>
      <c r="CE113" s="133" t="s">
        <v>599</v>
      </c>
      <c r="CF113" s="133" t="s">
        <v>599</v>
      </c>
    </row>
    <row r="114" spans="1:84">
      <c r="A114" s="17"/>
      <c r="B114" s="16"/>
      <c r="C114" s="18"/>
      <c r="D114" s="720">
        <f>MAX(_xll.xlDateSettle("TARGET",$D$4,2),L114)</f>
        <v>43179</v>
      </c>
      <c r="E114" s="718" t="s">
        <v>774</v>
      </c>
      <c r="F114" s="13" t="s">
        <v>1329</v>
      </c>
      <c r="G114" s="35">
        <v>45961</v>
      </c>
      <c r="H114" s="37">
        <v>2.15</v>
      </c>
      <c r="I114" s="11">
        <v>45961</v>
      </c>
      <c r="J114" s="11">
        <v>42164</v>
      </c>
      <c r="K114" s="11">
        <v>42308</v>
      </c>
      <c r="L114" s="11">
        <v>42164</v>
      </c>
      <c r="M114" s="12">
        <v>999</v>
      </c>
      <c r="N114" s="12" t="s">
        <v>1379</v>
      </c>
      <c r="O114" s="12" t="s">
        <v>1178</v>
      </c>
      <c r="P114" s="12" t="s">
        <v>1380</v>
      </c>
      <c r="Q114" s="15">
        <v>21873856000</v>
      </c>
      <c r="R114" s="12"/>
      <c r="S114" s="43">
        <f>_xll.RtGet("IDN",$X114,$S$9)</f>
        <v>108.816</v>
      </c>
      <c r="T114" s="43">
        <f>_xll.RtGet("IDN",$X114,$T$9)</f>
        <v>108.864</v>
      </c>
      <c r="U114" s="25">
        <f t="shared" si="18"/>
        <v>108.84</v>
      </c>
      <c r="V114" s="12"/>
      <c r="W114" s="25">
        <f t="shared" si="11"/>
        <v>108.84</v>
      </c>
      <c r="X114" s="14" t="str">
        <f t="shared" si="12"/>
        <v>ES0000127G=</v>
      </c>
      <c r="Y114" s="14"/>
      <c r="Z114" s="14"/>
      <c r="AA114" s="14"/>
      <c r="AB114" s="14"/>
      <c r="AC114" s="14"/>
      <c r="AD114" s="34">
        <f>IF(ISNUMBER($D114),_xll.xlBondYield($F114,$H114,$G114,$J114,$K114,$L114,$M114,$D114,$W114,IF(NOT($H114),TRUE,FALSE)),"")</f>
        <v>9.4144540886226709E-3</v>
      </c>
      <c r="AE114" s="12"/>
      <c r="AF114" s="12"/>
      <c r="AG114" s="12"/>
      <c r="AH114" s="14"/>
      <c r="AI114" s="14"/>
      <c r="AJ114" s="14"/>
      <c r="AK114" s="246">
        <f>IF(ISNUMBER($D114),_xll.xlBondAswSpread($F114&amp;T(TYPE($AV$1)),$H114,$G114,$J114,$K114,$L114,$M114,$D114,$W114,IF(NOT($H114),TRUE,FALSE),curveName,curveName,,,2),"")</f>
        <v>0.19335854209517436</v>
      </c>
      <c r="AL114" s="213">
        <f>IF($W114&gt;0,_xll.xlBondZSpread(F114&amp;T(TYPE($AV$1)),H114,G114,J114,K114,L114,M114,D114,U114,"annual",5,IF(NOT($H114),TRUE,FALSE),curveName)*100,"")</f>
        <v>18.953287901138541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4" t="str">
        <f>IF($AN$9+(($AL$9-$AM$9))*('DB Basis'!F274/10-'DB Basis'!E274),," ")</f>
        <v xml:space="preserve"> </v>
      </c>
      <c r="AO114" s="639">
        <f>IF(U114&gt;0,_xll.xlShmImplSwap2(curveName&amp;T(TYPE($AV$1)),curveName,D114,G114,,1,8,2,4),"")</f>
        <v>7.7028437918158499E-3</v>
      </c>
      <c r="AP114" s="640">
        <f t="shared" si="13"/>
        <v>1.711610296806821E-3</v>
      </c>
      <c r="AQ114" s="386">
        <f t="shared" si="14"/>
        <v>41.373272816345917</v>
      </c>
      <c r="AR114" s="386">
        <f t="shared" si="15"/>
        <v>29.478520291523424</v>
      </c>
      <c r="AS114" s="388"/>
      <c r="AT114" s="242">
        <f t="shared" si="16"/>
        <v>0.92854889641209915</v>
      </c>
      <c r="AU114" s="686" t="str">
        <f t="shared" si="10"/>
        <v>SPGB  31-Oct-25  2.15</v>
      </c>
      <c r="AV114" s="702"/>
      <c r="AW114" s="684"/>
      <c r="AX114" s="684"/>
      <c r="AY114" s="684"/>
      <c r="AZ114" s="684"/>
      <c r="BA114" s="684"/>
      <c r="BB114" s="682"/>
      <c r="BC114" s="696"/>
      <c r="BE114" s="706">
        <f>_xll.xlDateShiftMonth(BE113,1)</f>
        <v>46323</v>
      </c>
      <c r="BF114" s="707">
        <v>1.7178664595575665E-2</v>
      </c>
      <c r="BU114" s="133" t="s">
        <v>599</v>
      </c>
      <c r="BV114" s="133" t="s">
        <v>599</v>
      </c>
      <c r="BW114" s="133" t="s">
        <v>599</v>
      </c>
      <c r="BX114" s="133" t="s">
        <v>599</v>
      </c>
      <c r="BY114" s="133" t="s">
        <v>599</v>
      </c>
      <c r="BZ114" s="133" t="s">
        <v>599</v>
      </c>
      <c r="CA114" s="133" t="s">
        <v>599</v>
      </c>
      <c r="CB114" s="133" t="s">
        <v>599</v>
      </c>
      <c r="CC114" s="133" t="s">
        <v>599</v>
      </c>
      <c r="CD114" s="133" t="s">
        <v>599</v>
      </c>
      <c r="CE114" s="133" t="s">
        <v>599</v>
      </c>
      <c r="CF114" s="133" t="s">
        <v>599</v>
      </c>
    </row>
    <row r="115" spans="1:84">
      <c r="A115" s="10"/>
      <c r="B115" s="11"/>
      <c r="C115" s="12"/>
      <c r="D115" s="720">
        <f>MAX(_xll.xlDateSettle("TARGET",$D$4,2),L115)</f>
        <v>43179</v>
      </c>
      <c r="E115" s="718" t="s">
        <v>799</v>
      </c>
      <c r="F115" s="13" t="s">
        <v>1329</v>
      </c>
      <c r="G115" s="35">
        <v>46142</v>
      </c>
      <c r="H115" s="37">
        <v>1.95</v>
      </c>
      <c r="I115" s="11">
        <v>46142</v>
      </c>
      <c r="J115" s="11">
        <v>42388</v>
      </c>
      <c r="K115" s="11">
        <v>42490</v>
      </c>
      <c r="L115" s="11">
        <v>42388</v>
      </c>
      <c r="M115" s="12">
        <v>999</v>
      </c>
      <c r="N115" s="12" t="s">
        <v>1381</v>
      </c>
      <c r="O115" s="12" t="s">
        <v>1197</v>
      </c>
      <c r="P115" s="12" t="s">
        <v>1382</v>
      </c>
      <c r="Q115" s="15">
        <v>19626600000</v>
      </c>
      <c r="R115" s="12"/>
      <c r="S115" s="43">
        <f>_xll.RtGet("IDN",$X115,$S$9)</f>
        <v>106.93300000000001</v>
      </c>
      <c r="T115" s="43">
        <f>_xll.RtGet("IDN",$X115,$T$9)</f>
        <v>106.98400000000001</v>
      </c>
      <c r="U115" s="25">
        <f t="shared" si="18"/>
        <v>106.95850000000002</v>
      </c>
      <c r="V115" s="12"/>
      <c r="W115" s="25">
        <f t="shared" si="11"/>
        <v>106.95850000000002</v>
      </c>
      <c r="X115" s="14" t="str">
        <f t="shared" si="12"/>
        <v>ES0000127Z=</v>
      </c>
      <c r="Y115" s="14"/>
      <c r="Z115" s="14"/>
      <c r="AA115" s="14"/>
      <c r="AB115" s="14"/>
      <c r="AC115" s="14"/>
      <c r="AD115" s="34">
        <f>IF(ISNUMBER($D115),_xll.xlBondYield($F115,$H115,$G115,$J115,$K115,$L115,$M115,$D115,$W115,IF(NOT($H115),TRUE,FALSE)),"")</f>
        <v>1.0505068244692953E-2</v>
      </c>
      <c r="AE115" s="12"/>
      <c r="AF115" s="12"/>
      <c r="AG115" s="12"/>
      <c r="AH115" s="14"/>
      <c r="AI115" s="14"/>
      <c r="AJ115" s="14"/>
      <c r="AK115" s="246">
        <f>IF(ISNUMBER($D115),_xll.xlBondAswSpread($F115&amp;T(TYPE($AV$1)),$H115,$G115,$J115,$K115,$L115,$M115,$D115,$W115,IF(NOT($H115),TRUE,FALSE),curveName,curveName,,,2),"")</f>
        <v>0.24091871207941912</v>
      </c>
      <c r="AL115" s="213">
        <f>IF($W115&gt;0,_xll.xlBondZSpread(F115&amp;T(TYPE($AV$1)),H115,G115,J115,K115,L115,M115,D115,U115,"annual",5,IF(NOT($H115),TRUE,FALSE),curveName)*100,"")</f>
        <v>23.906554562364914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4" t="str">
        <f>IF($AN$9+(($AL$9-$AM$9))*('DB Basis'!F275/10-'DB Basis'!E275),," ")</f>
        <v xml:space="preserve"> </v>
      </c>
      <c r="AO115" s="639">
        <f>IF(U115&gt;0,_xll.xlShmImplSwap2(curveName&amp;T(TYPE($AV$1)),curveName,D115,G115,,1,8,2,4),"")</f>
        <v>8.2816587093524248E-3</v>
      </c>
      <c r="AP115" s="640">
        <f t="shared" si="13"/>
        <v>2.223409535340528E-3</v>
      </c>
      <c r="AQ115" s="386">
        <f t="shared" si="14"/>
        <v>21.993047898654854</v>
      </c>
      <c r="AR115" s="386">
        <f t="shared" si="15"/>
        <v>10.320813373746024</v>
      </c>
      <c r="AS115" s="388"/>
      <c r="AT115" s="242">
        <f t="shared" si="16"/>
        <v>1.0361163200245103</v>
      </c>
      <c r="AU115" s="686" t="str">
        <f t="shared" si="10"/>
        <v>SPGB  30-Apr-26  1.95</v>
      </c>
      <c r="AV115" s="702"/>
      <c r="AW115" s="684"/>
      <c r="AX115" s="684"/>
      <c r="AY115" s="684"/>
      <c r="AZ115" s="684"/>
      <c r="BA115" s="684"/>
      <c r="BB115" s="682"/>
      <c r="BC115" s="696"/>
      <c r="BE115" s="706">
        <f>_xll.xlDateShiftMonth(BE114,1)</f>
        <v>46354</v>
      </c>
      <c r="BF115" s="707">
        <v>1.730789197676573E-2</v>
      </c>
      <c r="BU115" s="133" t="s">
        <v>599</v>
      </c>
      <c r="BV115" s="133" t="s">
        <v>599</v>
      </c>
      <c r="BW115" s="133" t="s">
        <v>599</v>
      </c>
      <c r="BX115" s="133" t="s">
        <v>599</v>
      </c>
      <c r="BY115" s="133" t="s">
        <v>599</v>
      </c>
      <c r="BZ115" s="133" t="s">
        <v>599</v>
      </c>
      <c r="CA115" s="133" t="s">
        <v>599</v>
      </c>
      <c r="CB115" s="133" t="s">
        <v>599</v>
      </c>
      <c r="CC115" s="133" t="s">
        <v>599</v>
      </c>
      <c r="CD115" s="133" t="s">
        <v>599</v>
      </c>
      <c r="CE115" s="133" t="s">
        <v>599</v>
      </c>
      <c r="CF115" s="133" t="s">
        <v>599</v>
      </c>
    </row>
    <row r="116" spans="1:84">
      <c r="A116" s="17"/>
      <c r="B116" s="16"/>
      <c r="C116" s="18"/>
      <c r="D116" s="720">
        <f>MAX(_xll.xlDateSettle("TARGET",$D$4,2),L116)</f>
        <v>43179</v>
      </c>
      <c r="E116" s="718" t="s">
        <v>775</v>
      </c>
      <c r="F116" s="13" t="s">
        <v>1329</v>
      </c>
      <c r="G116" s="35">
        <v>46233</v>
      </c>
      <c r="H116" s="37">
        <v>5.9</v>
      </c>
      <c r="I116" s="11">
        <v>46233</v>
      </c>
      <c r="J116" s="11">
        <v>40617</v>
      </c>
      <c r="K116" s="11">
        <v>40754</v>
      </c>
      <c r="L116" s="11">
        <v>40617</v>
      </c>
      <c r="M116" s="12">
        <v>98.936000000000007</v>
      </c>
      <c r="N116" s="12" t="s">
        <v>1383</v>
      </c>
      <c r="O116" s="12" t="s">
        <v>1178</v>
      </c>
      <c r="P116" s="12" t="s">
        <v>1384</v>
      </c>
      <c r="Q116" s="15">
        <v>19388904000</v>
      </c>
      <c r="R116" s="12"/>
      <c r="S116" s="43">
        <f>_xll.RtGet("IDN",$X116,$S$9)</f>
        <v>138.57400000000001</v>
      </c>
      <c r="T116" s="43">
        <f>_xll.RtGet("IDN",$X116,$T$9)</f>
        <v>138.63400000000001</v>
      </c>
      <c r="U116" s="25">
        <f t="shared" si="18"/>
        <v>138.60400000000001</v>
      </c>
      <c r="V116" s="12"/>
      <c r="W116" s="25">
        <f t="shared" si="11"/>
        <v>138.60400000000001</v>
      </c>
      <c r="X116" s="14" t="str">
        <f t="shared" si="12"/>
        <v>ES0000123C=</v>
      </c>
      <c r="Y116" s="14"/>
      <c r="Z116" s="14"/>
      <c r="AA116" s="14"/>
      <c r="AB116" s="14"/>
      <c r="AC116" s="14"/>
      <c r="AD116" s="34">
        <f>IF(ISNUMBER($D116),_xll.xlBondYield($F116,$H116,$G116,$J116,$K116,$L116,$M116,$D116,$W116,IF(NOT($H116),TRUE,FALSE)),"")</f>
        <v>1.0519896741124857E-2</v>
      </c>
      <c r="AE116" s="12"/>
      <c r="AF116" s="12"/>
      <c r="AG116" s="12"/>
      <c r="AH116" s="14"/>
      <c r="AI116" s="14"/>
      <c r="AJ116" s="14"/>
      <c r="AK116" s="246">
        <f>IF(ISNUMBER($D116),_xll.xlBondAswSpread($F116&amp;T(TYPE($AV$1)),$H116,$G116,$J116,$K116,$L116,$M116,$D116,$W116,IF(NOT($H116),TRUE,FALSE),curveName,curveName,,,2),"")</f>
        <v>0.31253429597013643</v>
      </c>
      <c r="AL116" s="213">
        <f>IF($W116&gt;0,_xll.xlBondZSpread(F116&amp;T(TYPE($AV$1)),H116,G116,J116,K116,L116,M116,D116,U116,"annual",5,IF(NOT($H116),TRUE,FALSE),curveName)*100,"")</f>
        <v>26.405288500068497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4" t="str">
        <f>IF($AN$9+(($AL$9-$AM$9))*('DB Basis'!F276/10-'DB Basis'!E276),," ")</f>
        <v xml:space="preserve"> </v>
      </c>
      <c r="AO116" s="639">
        <f>IF(U116&gt;0,_xll.xlShmImplSwap2(curveName&amp;T(TYPE($AV$1)),curveName,D116,G116,,1,8,2,4),"")</f>
        <v>8.5403510773161048E-3</v>
      </c>
      <c r="AP116" s="640">
        <f t="shared" si="13"/>
        <v>1.979545663808752E-3</v>
      </c>
      <c r="AQ116" s="386">
        <f t="shared" si="14"/>
        <v>0.59476936237856626</v>
      </c>
      <c r="AR116" s="386">
        <f t="shared" si="15"/>
        <v>-9.7813530889118958</v>
      </c>
      <c r="AS116" s="388"/>
      <c r="AT116" s="242">
        <f t="shared" si="16"/>
        <v>1.0375788566588899</v>
      </c>
      <c r="AU116" s="686" t="str">
        <f t="shared" si="10"/>
        <v>SPGB  30-Jul-26  5.9</v>
      </c>
      <c r="AV116" s="702"/>
      <c r="AW116" s="684"/>
      <c r="AX116" s="684"/>
      <c r="AY116" s="684"/>
      <c r="AZ116" s="684"/>
      <c r="BA116" s="684"/>
      <c r="BB116" s="682"/>
      <c r="BC116" s="696"/>
      <c r="BE116" s="706">
        <f>_xll.xlDateShiftMonth(BE115,1)</f>
        <v>46384</v>
      </c>
      <c r="BF116" s="707">
        <v>1.7428920704294363E-2</v>
      </c>
      <c r="BU116" s="133" t="s">
        <v>599</v>
      </c>
      <c r="BV116" s="133" t="s">
        <v>599</v>
      </c>
      <c r="BW116" s="133" t="s">
        <v>599</v>
      </c>
      <c r="BX116" s="133" t="s">
        <v>599</v>
      </c>
      <c r="BY116" s="133" t="s">
        <v>599</v>
      </c>
      <c r="BZ116" s="133" t="s">
        <v>599</v>
      </c>
      <c r="CA116" s="133" t="s">
        <v>599</v>
      </c>
      <c r="CB116" s="133" t="s">
        <v>599</v>
      </c>
      <c r="CC116" s="133" t="s">
        <v>599</v>
      </c>
      <c r="CD116" s="133" t="s">
        <v>599</v>
      </c>
      <c r="CE116" s="133" t="s">
        <v>599</v>
      </c>
      <c r="CF116" s="133" t="s">
        <v>599</v>
      </c>
    </row>
    <row r="117" spans="1:84">
      <c r="A117" s="10"/>
      <c r="B117" s="11"/>
      <c r="C117" s="12"/>
      <c r="D117" s="720">
        <f>MAX(_xll.xlDateSettle("TARGET",$D$4,2),L117)</f>
        <v>43179</v>
      </c>
      <c r="E117" s="718" t="s">
        <v>871</v>
      </c>
      <c r="F117" s="13" t="s">
        <v>1329</v>
      </c>
      <c r="G117" s="35">
        <v>46326</v>
      </c>
      <c r="H117" s="37">
        <v>1.3</v>
      </c>
      <c r="I117" s="11">
        <v>46326</v>
      </c>
      <c r="J117" s="11">
        <v>42577</v>
      </c>
      <c r="K117" s="11">
        <v>42674</v>
      </c>
      <c r="L117" s="11">
        <v>42577</v>
      </c>
      <c r="M117" s="12">
        <v>999</v>
      </c>
      <c r="N117" s="12" t="s">
        <v>1385</v>
      </c>
      <c r="O117" s="12" t="s">
        <v>1178</v>
      </c>
      <c r="P117" s="12" t="s">
        <v>1386</v>
      </c>
      <c r="Q117" s="15">
        <v>22604600000</v>
      </c>
      <c r="R117" s="12"/>
      <c r="S117" s="43">
        <f>_xll.RtGet("IDN",$X117,$S$9)</f>
        <v>101.462</v>
      </c>
      <c r="T117" s="43">
        <f>_xll.RtGet("IDN",$X117,$T$9)</f>
        <v>101.523</v>
      </c>
      <c r="U117" s="25">
        <f t="shared" si="18"/>
        <v>101.49250000000001</v>
      </c>
      <c r="V117" s="12"/>
      <c r="W117" s="25">
        <f t="shared" si="11"/>
        <v>101.49250000000001</v>
      </c>
      <c r="X117" s="14" t="str">
        <f t="shared" si="12"/>
        <v>ES0000128H=</v>
      </c>
      <c r="Y117" s="14"/>
      <c r="Z117" s="14"/>
      <c r="AA117" s="14"/>
      <c r="AB117" s="14"/>
      <c r="AC117" s="14"/>
      <c r="AD117" s="34">
        <f>IF(ISNUMBER($D117),_xll.xlBondYield($F117,$H117,$G117,$J117,$K117,$L117,$M117,$D117,$W117,IF(NOT($H117),TRUE,FALSE)),"")</f>
        <v>1.1164490288686157E-2</v>
      </c>
      <c r="AE117" s="12"/>
      <c r="AF117" s="12"/>
      <c r="AG117" s="12"/>
      <c r="AH117" s="14"/>
      <c r="AI117" s="14"/>
      <c r="AJ117" s="14"/>
      <c r="AK117" s="246">
        <f>IF(ISNUMBER($D117),_xll.xlBondAswSpread($F117&amp;T(TYPE($AV$1)),$H117,$G117,$J117,$K117,$L117,$M117,$D117,$W117,IF(NOT($H117),TRUE,FALSE),curveName,curveName,,,2),"")</f>
        <v>0.23595522148759968</v>
      </c>
      <c r="AL117" s="213">
        <f>IF($W117&gt;0,_xll.xlBondZSpread(F117&amp;T(TYPE($AV$1)),H117,G117,J117,K117,L117,M117,D117,U117,"annual",5,IF(NOT($H117),TRUE,FALSE),curveName)*100,"")</f>
        <v>24.179222159196797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4" t="str">
        <f>IF($AN$9+(($AL$9-$AM$9))*('DB Basis'!F277/10-'DB Basis'!E277),," ")</f>
        <v xml:space="preserve"> </v>
      </c>
      <c r="AO117" s="639">
        <f>IF(U117&gt;0,_xll.xlShmImplSwap2(curveName&amp;T(TYPE($AV$1)),curveName,D117,G117,,1,8,2,4),"")</f>
        <v>8.814304362236923E-3</v>
      </c>
      <c r="AP117" s="640">
        <f t="shared" si="13"/>
        <v>2.3501859264492345E-3</v>
      </c>
      <c r="AQ117" s="386">
        <f t="shared" si="14"/>
        <v>25.298563963427394</v>
      </c>
      <c r="AR117" s="386">
        <f t="shared" si="15"/>
        <v>14.546633963846894</v>
      </c>
      <c r="AS117" s="388"/>
      <c r="AT117" s="242">
        <f t="shared" si="16"/>
        <v>1.1011552065553469</v>
      </c>
      <c r="AU117" s="686" t="str">
        <f t="shared" si="10"/>
        <v>SPGB  31-Oct-26  1.3</v>
      </c>
      <c r="AV117" s="702"/>
      <c r="AW117" s="684"/>
      <c r="AX117" s="684"/>
      <c r="AY117" s="684"/>
      <c r="AZ117" s="684"/>
      <c r="BA117" s="684"/>
      <c r="BB117" s="682"/>
      <c r="BC117" s="696"/>
      <c r="BE117" s="706">
        <f>_xll.xlDateShiftMonth(BE116,1)</f>
        <v>46415</v>
      </c>
      <c r="BF117" s="707">
        <v>1.7547658142079314E-2</v>
      </c>
      <c r="BU117" s="133" t="s">
        <v>599</v>
      </c>
      <c r="BV117" s="133" t="s">
        <v>599</v>
      </c>
      <c r="BW117" s="133" t="s">
        <v>599</v>
      </c>
      <c r="BX117" s="133" t="s">
        <v>599</v>
      </c>
      <c r="BY117" s="133" t="s">
        <v>599</v>
      </c>
      <c r="BZ117" s="133" t="s">
        <v>599</v>
      </c>
      <c r="CA117" s="133" t="s">
        <v>599</v>
      </c>
      <c r="CB117" s="133" t="s">
        <v>599</v>
      </c>
      <c r="CC117" s="133" t="s">
        <v>599</v>
      </c>
      <c r="CD117" s="133" t="s">
        <v>599</v>
      </c>
      <c r="CE117" s="133" t="s">
        <v>599</v>
      </c>
      <c r="CF117" s="133" t="s">
        <v>599</v>
      </c>
    </row>
    <row r="118" spans="1:84">
      <c r="A118" s="17"/>
      <c r="B118" s="16"/>
      <c r="C118" s="18"/>
      <c r="D118" s="720">
        <f>MAX(_xll.xlDateSettle("TARGET",$D$4,2),L118)</f>
        <v>43179</v>
      </c>
      <c r="E118" s="718" t="s">
        <v>931</v>
      </c>
      <c r="F118" s="13" t="s">
        <v>1329</v>
      </c>
      <c r="G118" s="35">
        <v>46507</v>
      </c>
      <c r="H118" s="37">
        <v>1.5</v>
      </c>
      <c r="I118" s="11">
        <v>46507</v>
      </c>
      <c r="J118" s="11">
        <v>42766</v>
      </c>
      <c r="K118" s="11">
        <v>42855</v>
      </c>
      <c r="L118" s="11">
        <v>42766</v>
      </c>
      <c r="M118" s="12">
        <v>99.298000000000002</v>
      </c>
      <c r="N118" s="12" t="s">
        <v>1387</v>
      </c>
      <c r="O118" s="12" t="s">
        <v>1197</v>
      </c>
      <c r="P118" s="12" t="s">
        <v>1388</v>
      </c>
      <c r="Q118" s="15">
        <v>17723304000</v>
      </c>
      <c r="R118" s="12"/>
      <c r="S118" s="43">
        <f>_xll.RtGet("IDN",$X118,$S$9)</f>
        <v>102.515</v>
      </c>
      <c r="T118" s="43">
        <f>_xll.RtGet("IDN",$X118,$T$9)</f>
        <v>102.59100000000001</v>
      </c>
      <c r="U118" s="25">
        <f t="shared" si="18"/>
        <v>102.553</v>
      </c>
      <c r="V118" s="12"/>
      <c r="W118" s="25">
        <f t="shared" si="11"/>
        <v>102.553</v>
      </c>
      <c r="X118" s="14" t="str">
        <f t="shared" si="12"/>
        <v>ES0000128P=</v>
      </c>
      <c r="Y118" s="14"/>
      <c r="Z118" s="14"/>
      <c r="AA118" s="14"/>
      <c r="AB118" s="14"/>
      <c r="AC118" s="14"/>
      <c r="AD118" s="34">
        <f>IF(ISNUMBER($D118),_xll.xlBondYield($F118,$H118,$G118,$J118,$K118,$L118,$M118,$D118,$W118,IF(NOT($H118),TRUE,FALSE)),"")</f>
        <v>1.2023940356555966E-2</v>
      </c>
      <c r="AE118" s="12"/>
      <c r="AF118" s="12"/>
      <c r="AG118" s="12"/>
      <c r="AH118" s="14"/>
      <c r="AI118" s="14"/>
      <c r="AJ118" s="14"/>
      <c r="AK118" s="246">
        <f>IF(ISNUMBER($D118),_xll.xlBondAswSpread($F118&amp;T(TYPE($AV$1)),$H118,$G118,$J118,$K118,$L118,$M118,$D118,$W118,IF(NOT($H118),TRUE,FALSE),curveName,curveName,,,2),"")</f>
        <v>0.27464308118363839</v>
      </c>
      <c r="AL118" s="213">
        <f>IF($W118&gt;0,_xll.xlBondZSpread(F118&amp;T(TYPE($AV$1)),H118,G118,J118,K118,L118,M118,D118,U118,"annual",5,IF(NOT($H118),TRUE,FALSE),curveName)*100,"")</f>
        <v>28.019355358411492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4" t="str">
        <f>IF($AN$9+(($AL$9-$AM$9))*('DB Basis'!F278/10-'DB Basis'!E278),," ")</f>
        <v xml:space="preserve"> </v>
      </c>
      <c r="AO118" s="639">
        <f>IF(U118&gt;0,_xll.xlShmImplSwap2(curveName&amp;T(TYPE($AV$1)),curveName,D118,G118,,1,8,2,4),"")</f>
        <v>9.3245132446460825E-3</v>
      </c>
      <c r="AP118" s="640">
        <f t="shared" si="13"/>
        <v>2.6994271119098832E-3</v>
      </c>
      <c r="AQ118" s="386">
        <f t="shared" si="14"/>
        <v>17.331451644888396</v>
      </c>
      <c r="AR118" s="386">
        <f t="shared" si="15"/>
        <v>7.0427089885710918</v>
      </c>
      <c r="AS118" s="388"/>
      <c r="AT118" s="242">
        <f t="shared" si="16"/>
        <v>1.185922884482232</v>
      </c>
      <c r="AU118" s="686" t="str">
        <f t="shared" si="10"/>
        <v>SPGB  30-Apr-27  1.5</v>
      </c>
      <c r="AV118" s="702"/>
      <c r="AW118" s="684"/>
      <c r="AX118" s="684"/>
      <c r="AY118" s="684"/>
      <c r="AZ118" s="684"/>
      <c r="BA118" s="684"/>
      <c r="BB118" s="682"/>
      <c r="BC118" s="696"/>
      <c r="BE118" s="706">
        <f>_xll.xlDateShiftMonth(BE117,1)</f>
        <v>46446</v>
      </c>
      <c r="BF118" s="707">
        <v>1.766106869480584E-2</v>
      </c>
      <c r="BU118" s="133" t="s">
        <v>599</v>
      </c>
      <c r="BV118" s="133" t="s">
        <v>599</v>
      </c>
      <c r="BW118" s="133" t="s">
        <v>599</v>
      </c>
      <c r="BX118" s="133" t="s">
        <v>599</v>
      </c>
      <c r="BY118" s="133" t="s">
        <v>599</v>
      </c>
      <c r="BZ118" s="133" t="s">
        <v>599</v>
      </c>
      <c r="CA118" s="133" t="s">
        <v>599</v>
      </c>
      <c r="CB118" s="133" t="s">
        <v>599</v>
      </c>
      <c r="CC118" s="133" t="s">
        <v>599</v>
      </c>
      <c r="CD118" s="133" t="s">
        <v>599</v>
      </c>
      <c r="CE118" s="133" t="s">
        <v>599</v>
      </c>
      <c r="CF118" s="133" t="s">
        <v>599</v>
      </c>
    </row>
    <row r="119" spans="1:84">
      <c r="A119" s="10"/>
      <c r="B119" s="11"/>
      <c r="C119" s="12"/>
      <c r="D119" s="720">
        <f>MAX(_xll.xlDateSettle("TARGET",$D$4,2),L119)</f>
        <v>43179</v>
      </c>
      <c r="E119" s="718" t="s">
        <v>995</v>
      </c>
      <c r="F119" s="13" t="s">
        <v>1329</v>
      </c>
      <c r="G119" s="35">
        <v>46691</v>
      </c>
      <c r="H119" s="37">
        <v>1.45</v>
      </c>
      <c r="I119" s="11">
        <v>46691</v>
      </c>
      <c r="J119" s="11">
        <v>42920</v>
      </c>
      <c r="K119" s="11">
        <v>43039</v>
      </c>
      <c r="L119" s="11">
        <v>42920</v>
      </c>
      <c r="M119" s="12">
        <v>99.248999999999995</v>
      </c>
      <c r="N119" s="12" t="s">
        <v>1389</v>
      </c>
      <c r="O119" s="12" t="s">
        <v>1178</v>
      </c>
      <c r="P119" s="12" t="s">
        <v>1390</v>
      </c>
      <c r="Q119" s="15">
        <v>22291100000</v>
      </c>
      <c r="R119" s="12"/>
      <c r="S119" s="43">
        <f>_xll.RtGet("IDN",$X119,$S$9)</f>
        <v>101.482</v>
      </c>
      <c r="T119" s="43">
        <f>_xll.RtGet("IDN",$X119,$T$9)</f>
        <v>101.593</v>
      </c>
      <c r="U119" s="25">
        <f t="shared" si="18"/>
        <v>101.53749999999999</v>
      </c>
      <c r="V119" s="12"/>
      <c r="W119" s="25">
        <f t="shared" si="11"/>
        <v>101.53749999999999</v>
      </c>
      <c r="X119" s="14" t="str">
        <f t="shared" si="12"/>
        <v>ES000012A8=</v>
      </c>
      <c r="Y119" s="14"/>
      <c r="Z119" s="14"/>
      <c r="AA119" s="14"/>
      <c r="AB119" s="14"/>
      <c r="AC119" s="14"/>
      <c r="AD119" s="34">
        <f>IF(ISNUMBER($D119),_xll.xlBondYield($F119,$H119,$G119,$J119,$K119,$L119,$M119,$D119,$W119,IF(NOT($H119),TRUE,FALSE)),"")</f>
        <v>1.2784559399331302E-2</v>
      </c>
      <c r="AE119" s="12"/>
      <c r="AF119" s="12"/>
      <c r="AG119" s="12"/>
      <c r="AH119" s="14"/>
      <c r="AI119" s="14"/>
      <c r="AJ119" s="14"/>
      <c r="AK119" s="246">
        <f>IF(ISNUMBER($D119),_xll.xlBondAswSpread($F119&amp;T(TYPE($AV$1)),$H119,$G119,$J119,$K119,$L119,$M119,$D119,$W119,IF(NOT($H119),TRUE,FALSE),curveName,curveName,,,2),"")</f>
        <v>0.29896722252745667</v>
      </c>
      <c r="AL119" s="213">
        <f>IF($W119&gt;0,_xll.xlBondZSpread(F119&amp;T(TYPE($AV$1)),H119,G119,J119,K119,L119,M119,D119,U119,"annual",5,IF(NOT($H119),TRUE,FALSE),curveName)*100,"")</f>
        <v>30.718728070712686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4" t="str">
        <f>IF($AN$9+(($AL$9-$AM$9))*('DB Basis'!F279/10-'DB Basis'!E279),," ")</f>
        <v xml:space="preserve"> </v>
      </c>
      <c r="AO119" s="639">
        <f>IF(U119&gt;0,_xll.xlShmImplSwap2(curveName&amp;T(TYPE($AV$1)),curveName,D119,G119,,1,8,2,4),"")</f>
        <v>9.8011228418155068E-3</v>
      </c>
      <c r="AP119" s="640">
        <f t="shared" si="13"/>
        <v>2.9834365575157947E-3</v>
      </c>
      <c r="AQ119" s="386">
        <f t="shared" si="14"/>
        <v>15.088366881141175</v>
      </c>
      <c r="AR119" s="386">
        <f t="shared" si="15"/>
        <v>5.6338830242477016</v>
      </c>
      <c r="AS119" s="388"/>
      <c r="AT119" s="242">
        <f t="shared" si="16"/>
        <v>1.2609428448655531</v>
      </c>
      <c r="AU119" s="686" t="str">
        <f t="shared" si="10"/>
        <v>SPGB  31-Oct-27  1.45</v>
      </c>
      <c r="AV119" s="702"/>
      <c r="AW119" s="684"/>
      <c r="AX119" s="684"/>
      <c r="AY119" s="684"/>
      <c r="AZ119" s="684"/>
      <c r="BA119" s="684"/>
      <c r="BB119" s="682"/>
      <c r="BC119" s="696"/>
      <c r="BE119" s="706">
        <f>_xll.xlDateShiftMonth(BE118,1)</f>
        <v>46474</v>
      </c>
      <c r="BF119" s="707">
        <v>1.7759873963042964E-2</v>
      </c>
      <c r="BU119" s="133" t="s">
        <v>599</v>
      </c>
      <c r="BV119" s="133" t="s">
        <v>599</v>
      </c>
      <c r="BW119" s="133" t="s">
        <v>599</v>
      </c>
      <c r="BX119" s="133" t="s">
        <v>599</v>
      </c>
      <c r="BY119" s="133" t="s">
        <v>599</v>
      </c>
      <c r="BZ119" s="133" t="s">
        <v>599</v>
      </c>
      <c r="CA119" s="133" t="s">
        <v>599</v>
      </c>
      <c r="CB119" s="133" t="s">
        <v>599</v>
      </c>
      <c r="CC119" s="133" t="s">
        <v>599</v>
      </c>
      <c r="CD119" s="133" t="s">
        <v>599</v>
      </c>
      <c r="CE119" s="133" t="s">
        <v>599</v>
      </c>
      <c r="CF119" s="133" t="s">
        <v>599</v>
      </c>
    </row>
    <row r="120" spans="1:84">
      <c r="A120" s="17"/>
      <c r="B120" s="16"/>
      <c r="C120" s="18"/>
      <c r="D120" s="720">
        <f>MAX(_xll.xlDateSettle("TARGET",$D$4,2),L120)</f>
        <v>43179</v>
      </c>
      <c r="E120" s="718" t="s">
        <v>1710</v>
      </c>
      <c r="F120" s="13" t="s">
        <v>1329</v>
      </c>
      <c r="G120" s="35">
        <v>46873</v>
      </c>
      <c r="H120" s="37">
        <v>1.4</v>
      </c>
      <c r="I120" s="11">
        <v>46873</v>
      </c>
      <c r="J120" s="11">
        <v>43130</v>
      </c>
      <c r="K120" s="11">
        <v>43220</v>
      </c>
      <c r="L120" s="11">
        <v>43130</v>
      </c>
      <c r="M120" s="12">
        <v>999</v>
      </c>
      <c r="N120" s="12" t="s">
        <v>1711</v>
      </c>
      <c r="O120" s="12" t="s">
        <v>1197</v>
      </c>
      <c r="P120" s="12" t="s">
        <v>1712</v>
      </c>
      <c r="Q120" s="15">
        <v>13992832000</v>
      </c>
      <c r="R120" s="12"/>
      <c r="S120" s="43">
        <f>_xll.RtGet("IDN",$X120,$S$9)</f>
        <v>100.38</v>
      </c>
      <c r="T120" s="43">
        <f>_xll.RtGet("IDN",$X120,$T$9)</f>
        <v>100.47500000000001</v>
      </c>
      <c r="U120" s="25">
        <f t="shared" si="18"/>
        <v>100.42750000000001</v>
      </c>
      <c r="V120" s="12"/>
      <c r="W120" s="25">
        <f t="shared" si="11"/>
        <v>100.42750000000001</v>
      </c>
      <c r="X120" s="14" t="str">
        <f t="shared" si="12"/>
        <v>ES000012B3=</v>
      </c>
      <c r="Y120" s="14"/>
      <c r="Z120" s="14"/>
      <c r="AA120" s="14"/>
      <c r="AB120" s="14"/>
      <c r="AC120" s="14"/>
      <c r="AD120" s="34">
        <f>IF(ISNUMBER($D120),_xll.xlBondYield($F120,$H120,$G120,$J120,$K120,$L120,$M120,$D120,$W120,IF(NOT($H120),TRUE,FALSE)),"")</f>
        <v>1.3538342137703796E-2</v>
      </c>
      <c r="AE120" s="12"/>
      <c r="AF120" s="12"/>
      <c r="AG120" s="12"/>
      <c r="AH120" s="14"/>
      <c r="AI120" s="14"/>
      <c r="AJ120" s="14"/>
      <c r="AK120" s="246">
        <f>IF(ISNUMBER($D120),_xll.xlBondAswSpread($F120&amp;T(TYPE($AV$1)),$H120,$G120,$J120,$K120,$L120,$M120,$D120,$W120,IF(NOT($H120),TRUE,FALSE),curveName,curveName,,,2),"")</f>
        <v>0.32269017012211082</v>
      </c>
      <c r="AL120" s="213">
        <f>IF($W120&gt;0,_xll.xlBondZSpread(F120&amp;T(TYPE($AV$1)),H120,G120,J120,K120,L120,M120,D120,U120,"annual",5,IF(NOT($H120),TRUE,FALSE),curveName)*100,"")</f>
        <v>33.424468087621428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4" t="str">
        <f>IF($AN$9+(($AL$9-$AM$9))*('DB Basis'!F280/10-'DB Basis'!E280),," ")</f>
        <v xml:space="preserve"> </v>
      </c>
      <c r="AO120" s="639">
        <f>IF(U120&gt;0,_xll.xlShmImplSwap2(curveName&amp;T(TYPE($AV$1)),curveName,D120,G120,,1,8,2,4),"")</f>
        <v>1.0272479946053207E-2</v>
      </c>
      <c r="AP120" s="640">
        <f t="shared" si="13"/>
        <v>3.2658621916505891E-3</v>
      </c>
      <c r="AQ120" s="386">
        <f t="shared" si="14"/>
        <v>15.117071401426404</v>
      </c>
      <c r="AR120" s="386">
        <f t="shared" si="15"/>
        <v>5.6640305746813153</v>
      </c>
      <c r="AS120" s="388"/>
      <c r="AT120" s="242">
        <f t="shared" si="16"/>
        <v>1.3352885396091414</v>
      </c>
      <c r="AU120" s="686" t="str">
        <f t="shared" si="10"/>
        <v>SPGB  30-Apr-28  1.4</v>
      </c>
      <c r="AV120" s="702"/>
      <c r="AW120" s="684"/>
      <c r="AX120" s="684"/>
      <c r="AY120" s="684"/>
      <c r="AZ120" s="684"/>
      <c r="BA120" s="684"/>
      <c r="BB120" s="682"/>
      <c r="BC120" s="696"/>
      <c r="BE120" s="706">
        <f>_xll.xlDateShiftMonth(BE119,1)</f>
        <v>46505</v>
      </c>
      <c r="BF120" s="707">
        <v>1.7866296631075973E-2</v>
      </c>
      <c r="BU120" s="133" t="s">
        <v>599</v>
      </c>
      <c r="BV120" s="133" t="s">
        <v>599</v>
      </c>
      <c r="BW120" s="133" t="s">
        <v>599</v>
      </c>
      <c r="BX120" s="133" t="s">
        <v>599</v>
      </c>
      <c r="BY120" s="133" t="s">
        <v>599</v>
      </c>
      <c r="BZ120" s="133" t="s">
        <v>599</v>
      </c>
      <c r="CA120" s="133" t="s">
        <v>599</v>
      </c>
      <c r="CB120" s="133" t="s">
        <v>599</v>
      </c>
      <c r="CC120" s="133" t="s">
        <v>599</v>
      </c>
      <c r="CD120" s="133" t="s">
        <v>599</v>
      </c>
      <c r="CE120" s="133" t="s">
        <v>599</v>
      </c>
      <c r="CF120" s="133" t="s">
        <v>599</v>
      </c>
    </row>
    <row r="121" spans="1:84">
      <c r="A121" s="10"/>
      <c r="B121" s="11"/>
      <c r="C121" s="12"/>
      <c r="D121" s="720">
        <f>MAX(_xll.xlDateSettle("TARGET",$D$4,2),L121)</f>
        <v>43179</v>
      </c>
      <c r="E121" s="718" t="s">
        <v>836</v>
      </c>
      <c r="F121" s="13" t="s">
        <v>1329</v>
      </c>
      <c r="G121" s="35">
        <v>47057</v>
      </c>
      <c r="H121" s="37">
        <v>5.15</v>
      </c>
      <c r="I121" s="11">
        <v>47057</v>
      </c>
      <c r="J121" s="11">
        <v>41471</v>
      </c>
      <c r="K121" s="11">
        <v>41578</v>
      </c>
      <c r="L121" s="11">
        <v>41471</v>
      </c>
      <c r="M121" s="12">
        <v>99.57</v>
      </c>
      <c r="N121" s="12" t="s">
        <v>1391</v>
      </c>
      <c r="O121" s="12" t="s">
        <v>1178</v>
      </c>
      <c r="P121" s="12" t="s">
        <v>1392</v>
      </c>
      <c r="Q121" s="15">
        <v>18769039000</v>
      </c>
      <c r="R121" s="12"/>
      <c r="S121" s="43">
        <f>_xll.RtGet("IDN",$X121,$S$9)</f>
        <v>137</v>
      </c>
      <c r="T121" s="43">
        <f>_xll.RtGet("IDN",$X121,$T$9)</f>
        <v>137.149</v>
      </c>
      <c r="U121" s="25">
        <f t="shared" si="18"/>
        <v>137.0745</v>
      </c>
      <c r="V121" s="12"/>
      <c r="W121" s="25">
        <f t="shared" si="11"/>
        <v>137.0745</v>
      </c>
      <c r="X121" s="14" t="str">
        <f t="shared" si="12"/>
        <v>ES0000124C=</v>
      </c>
      <c r="Y121" s="14"/>
      <c r="Z121" s="14"/>
      <c r="AA121" s="14"/>
      <c r="AB121" s="14"/>
      <c r="AC121" s="14"/>
      <c r="AD121" s="34">
        <f>IF(ISNUMBER($D121),_xll.xlBondYield($F121,$H121,$G121,$J121,$K121,$L121,$M121,$D121,$W121,IF(NOT($H121),TRUE,FALSE)),"")</f>
        <v>1.3724180252544363E-2</v>
      </c>
      <c r="AE121" s="12"/>
      <c r="AF121" s="12"/>
      <c r="AG121" s="12"/>
      <c r="AH121" s="14"/>
      <c r="AI121" s="14"/>
      <c r="AJ121" s="14"/>
      <c r="AK121" s="246">
        <f>IF(ISNUMBER($D121),_xll.xlBondAswSpread($F121&amp;T(TYPE($AV$1)),$H121,$G121,$J121,$K121,$L121,$M121,$D121,$W121,IF(NOT($H121),TRUE,FALSE),curveName,curveName,,,2),"")</f>
        <v>0.43762409211307407</v>
      </c>
      <c r="AL121" s="213">
        <f>IF($W121&gt;0,_xll.xlBondZSpread(F121&amp;T(TYPE($AV$1)),H121,G121,J121,K121,L121,M121,D121,U121,"annual",5,IF(NOT($H121),TRUE,FALSE),curveName)*100,"")</f>
        <v>37.543017432068169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4" t="str">
        <f>IF($AN$9+(($AL$9-$AM$9))*('DB Basis'!F281/10-'DB Basis'!E281),," ")</f>
        <v xml:space="preserve"> </v>
      </c>
      <c r="AO121" s="639">
        <f>IF(U121&gt;0,_xll.xlShmImplSwap2(curveName&amp;T(TYPE($AV$1)),curveName,D121,G121,,1,8,2,4),"")</f>
        <v>1.068984168879082E-2</v>
      </c>
      <c r="AP121" s="640">
        <f t="shared" si="13"/>
        <v>3.0343385637535431E-3</v>
      </c>
      <c r="AQ121" s="386">
        <f t="shared" si="14"/>
        <v>3.6864626041742814</v>
      </c>
      <c r="AR121" s="386">
        <f t="shared" si="15"/>
        <v>-4.5927241403490093</v>
      </c>
      <c r="AS121" s="388"/>
      <c r="AT121" s="242">
        <f t="shared" si="16"/>
        <v>1.3536177783331427</v>
      </c>
      <c r="AU121" s="686" t="str">
        <f t="shared" si="10"/>
        <v>SPGB  31-Oct-28  5.15</v>
      </c>
      <c r="AV121" s="702"/>
      <c r="AW121" s="684"/>
      <c r="AX121" s="684"/>
      <c r="AY121" s="684"/>
      <c r="AZ121" s="684"/>
      <c r="BA121" s="684"/>
      <c r="BB121" s="682"/>
      <c r="BC121" s="696"/>
      <c r="BE121" s="706">
        <f>_xll.xlDateShiftMonth(BE120,1)</f>
        <v>46535</v>
      </c>
      <c r="BF121" s="707">
        <v>1.7967354834152866E-2</v>
      </c>
      <c r="BU121" s="133" t="s">
        <v>599</v>
      </c>
      <c r="BV121" s="133" t="s">
        <v>599</v>
      </c>
      <c r="BW121" s="133" t="s">
        <v>599</v>
      </c>
      <c r="BX121" s="133" t="s">
        <v>599</v>
      </c>
      <c r="BY121" s="133" t="s">
        <v>599</v>
      </c>
      <c r="BZ121" s="133" t="s">
        <v>599</v>
      </c>
      <c r="CA121" s="133" t="s">
        <v>599</v>
      </c>
      <c r="CB121" s="133" t="s">
        <v>599</v>
      </c>
      <c r="CC121" s="133" t="s">
        <v>599</v>
      </c>
      <c r="CD121" s="133" t="s">
        <v>599</v>
      </c>
      <c r="CE121" s="133" t="s">
        <v>599</v>
      </c>
      <c r="CF121" s="133" t="s">
        <v>599</v>
      </c>
    </row>
    <row r="122" spans="1:84">
      <c r="A122" s="17"/>
      <c r="B122" s="16"/>
      <c r="C122" s="18"/>
      <c r="D122" s="720">
        <f>MAX(_xll.xlDateSettle("TARGET",$D$4,2),L122)</f>
        <v>43179</v>
      </c>
      <c r="E122" s="718" t="s">
        <v>837</v>
      </c>
      <c r="F122" s="13" t="s">
        <v>1329</v>
      </c>
      <c r="G122" s="35">
        <v>47149</v>
      </c>
      <c r="H122" s="37">
        <v>6</v>
      </c>
      <c r="I122" s="11">
        <v>47149</v>
      </c>
      <c r="J122" s="11">
        <v>36191</v>
      </c>
      <c r="K122" s="11">
        <v>36556</v>
      </c>
      <c r="L122" s="11">
        <v>35810</v>
      </c>
      <c r="M122" s="12">
        <v>94.846000000000004</v>
      </c>
      <c r="N122" s="12" t="s">
        <v>1393</v>
      </c>
      <c r="O122" s="12" t="s">
        <v>1178</v>
      </c>
      <c r="P122" s="12" t="s">
        <v>1394</v>
      </c>
      <c r="Q122" s="15">
        <v>24622106000</v>
      </c>
      <c r="R122" s="12"/>
      <c r="S122" s="43">
        <f>_xll.RtGet("IDN",$X122,$S$9)</f>
        <v>146.488</v>
      </c>
      <c r="T122" s="43">
        <f>_xll.RtGet("IDN",$X122,$T$9)</f>
        <v>146.55500000000001</v>
      </c>
      <c r="U122" s="25">
        <f t="shared" si="18"/>
        <v>146.5215</v>
      </c>
      <c r="V122" s="12"/>
      <c r="W122" s="25">
        <f t="shared" si="11"/>
        <v>146.5215</v>
      </c>
      <c r="X122" s="14" t="str">
        <f t="shared" si="12"/>
        <v>ES00001186=</v>
      </c>
      <c r="Y122" s="14"/>
      <c r="Z122" s="14"/>
      <c r="AA122" s="14"/>
      <c r="AB122" s="14"/>
      <c r="AC122" s="14"/>
      <c r="AD122" s="34">
        <f>IF(ISNUMBER($D122),_xll.xlBondYield($F122,$H122,$G122,$J122,$K122,$L122,$M122,$D122,$W122,IF(NOT($H122),TRUE,FALSE)),"")</f>
        <v>1.364689093026137E-2</v>
      </c>
      <c r="AE122" s="12"/>
      <c r="AF122" s="12"/>
      <c r="AG122" s="12"/>
      <c r="AH122" s="14"/>
      <c r="AI122" s="14"/>
      <c r="AJ122" s="14"/>
      <c r="AK122" s="246">
        <f>IF(ISNUMBER($D122),_xll.xlBondAswSpread($F122&amp;T(TYPE($AV$1)),$H122,$G122,$J122,$K122,$L122,$M122,$D122,$W122,IF(NOT($H122),TRUE,FALSE),curveName,curveName,,,2),"")</f>
        <v>0.43657048506576718</v>
      </c>
      <c r="AL122" s="213">
        <f>IF($W122&gt;0,_xll.xlBondZSpread(F122&amp;T(TYPE($AV$1)),H122,G122,J122,K122,L122,M122,D122,U122,"annual",5,IF(NOT($H122),TRUE,FALSE),curveName)*100,"")</f>
        <v>35.899409398338683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4" t="str">
        <f>IF($AN$9+(($AL$9-$AM$9))*('DB Basis'!F282/10-'DB Basis'!E282),," ")</f>
        <v xml:space="preserve"> </v>
      </c>
      <c r="AO122" s="639">
        <f>IF(U122&gt;0,_xll.xlShmImplSwap2(curveName&amp;T(TYPE($AV$1)),curveName,D122,G122,,1,8,2,4),"")</f>
        <v>1.0907624261112072E-2</v>
      </c>
      <c r="AP122" s="640">
        <f t="shared" si="13"/>
        <v>2.7392666691492974E-3</v>
      </c>
      <c r="AQ122" s="386">
        <f t="shared" si="14"/>
        <v>-3.0663698514448376</v>
      </c>
      <c r="AR122" s="386">
        <f t="shared" si="15"/>
        <v>-11.706656688103228</v>
      </c>
      <c r="AS122" s="388"/>
      <c r="AT122" s="242">
        <f t="shared" si="16"/>
        <v>1.3459947218887927</v>
      </c>
      <c r="AU122" s="686" t="str">
        <f t="shared" si="10"/>
        <v>SPGB  31-Jan-29  6</v>
      </c>
      <c r="AV122" s="702"/>
      <c r="AW122" s="684"/>
      <c r="AX122" s="684"/>
      <c r="AY122" s="684"/>
      <c r="AZ122" s="684"/>
      <c r="BA122" s="684"/>
      <c r="BB122" s="682"/>
      <c r="BC122" s="696"/>
      <c r="BE122" s="706">
        <f>_xll.xlDateShiftMonth(BE121,1)</f>
        <v>46566</v>
      </c>
      <c r="BF122" s="707">
        <v>1.8070895637344063E-2</v>
      </c>
      <c r="BU122" s="133" t="s">
        <v>599</v>
      </c>
      <c r="BV122" s="133" t="s">
        <v>599</v>
      </c>
      <c r="BW122" s="133" t="s">
        <v>599</v>
      </c>
      <c r="BX122" s="133" t="s">
        <v>599</v>
      </c>
      <c r="BY122" s="133" t="s">
        <v>599</v>
      </c>
      <c r="BZ122" s="133" t="s">
        <v>599</v>
      </c>
      <c r="CA122" s="133" t="s">
        <v>599</v>
      </c>
      <c r="CB122" s="133" t="s">
        <v>599</v>
      </c>
      <c r="CC122" s="133" t="s">
        <v>599</v>
      </c>
      <c r="CD122" s="133" t="s">
        <v>599</v>
      </c>
      <c r="CE122" s="133" t="s">
        <v>599</v>
      </c>
      <c r="CF122" s="133" t="s">
        <v>599</v>
      </c>
    </row>
    <row r="123" spans="1:84">
      <c r="A123" s="10"/>
      <c r="B123" s="11"/>
      <c r="C123" s="12"/>
      <c r="D123" s="720">
        <f>MAX(_xll.xlDateSettle("TARGET",$D$4,2),L123)</f>
        <v>43179</v>
      </c>
      <c r="E123" s="718" t="s">
        <v>817</v>
      </c>
      <c r="F123" s="13" t="s">
        <v>1329</v>
      </c>
      <c r="G123" s="35">
        <v>47694</v>
      </c>
      <c r="H123" s="37">
        <v>1.95</v>
      </c>
      <c r="I123" s="11">
        <v>47694</v>
      </c>
      <c r="J123" s="11">
        <v>42067</v>
      </c>
      <c r="K123" s="11">
        <v>42215</v>
      </c>
      <c r="L123" s="11">
        <v>42067</v>
      </c>
      <c r="M123" s="12">
        <v>99.596000000000004</v>
      </c>
      <c r="N123" s="12" t="s">
        <v>1395</v>
      </c>
      <c r="O123" s="12" t="s">
        <v>1178</v>
      </c>
      <c r="P123" s="12" t="s">
        <v>1396</v>
      </c>
      <c r="Q123" s="15">
        <v>20206420000</v>
      </c>
      <c r="R123" s="12"/>
      <c r="S123" s="43">
        <f>_xll.RtGet("IDN",$X123,$S$9)</f>
        <v>103.94200000000001</v>
      </c>
      <c r="T123" s="43">
        <f>_xll.RtGet("IDN",$X123,$T$9)</f>
        <v>104.172</v>
      </c>
      <c r="U123" s="25">
        <f t="shared" si="18"/>
        <v>104.057</v>
      </c>
      <c r="V123" s="12"/>
      <c r="W123" s="25">
        <f t="shared" si="11"/>
        <v>104.057</v>
      </c>
      <c r="X123" s="14" t="str">
        <f t="shared" si="12"/>
        <v>ES0000127A=</v>
      </c>
      <c r="Y123" s="14"/>
      <c r="Z123" s="14"/>
      <c r="AA123" s="14"/>
      <c r="AB123" s="14"/>
      <c r="AC123" s="14"/>
      <c r="AD123" s="34">
        <f>IF(ISNUMBER($D123),_xll.xlBondYield($F123,$H123,$G123,$J123,$K123,$L123,$M123,$D123,$W123,IF(NOT($H123),TRUE,FALSE)),"")</f>
        <v>1.5856597800758675E-2</v>
      </c>
      <c r="AE123" s="12"/>
      <c r="AF123" s="12"/>
      <c r="AG123" s="12"/>
      <c r="AH123" s="14"/>
      <c r="AI123" s="14"/>
      <c r="AJ123" s="14"/>
      <c r="AK123" s="246">
        <f>IF(ISNUMBER($D123),_xll.xlBondAswSpread($F123&amp;T(TYPE($AV$1)),$H123,$G123,$J123,$K123,$L123,$M123,$D123,$W123,IF(NOT($H123),TRUE,FALSE),curveName,curveName,,,2),"")</f>
        <v>0.39598277522797937</v>
      </c>
      <c r="AL123" s="213">
        <f>IF($W123&gt;0,_xll.xlBondZSpread(F123&amp;T(TYPE($AV$1)),H123,G123,J123,K123,L123,M123,D123,U123,"annual",5,IF(NOT($H123),TRUE,FALSE),curveName)*100,"")</f>
        <v>40.419509826662406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4" t="str">
        <f>IF($AN$9+(($AL$9-$AM$9))*('DB Basis'!F283/10-'DB Basis'!E283),," ")</f>
        <v xml:space="preserve"> </v>
      </c>
      <c r="AO123" s="639">
        <f>IF(U123&gt;0,_xll.xlShmImplSwap2(curveName&amp;T(TYPE($AV$1)),curveName,D123,G123,,1,8,2,4),"")</f>
        <v>1.2003993528243858E-2</v>
      </c>
      <c r="AP123" s="640">
        <f t="shared" si="13"/>
        <v>3.8526042725148171E-3</v>
      </c>
      <c r="AQ123" s="386">
        <f t="shared" si="14"/>
        <v>14.798954270303051</v>
      </c>
      <c r="AR123" s="386">
        <f t="shared" si="15"/>
        <v>7.4562977106131143</v>
      </c>
      <c r="AS123" s="388"/>
      <c r="AT123" s="242">
        <f t="shared" si="16"/>
        <v>1.563938413225513</v>
      </c>
      <c r="AU123" s="686" t="str">
        <f t="shared" si="10"/>
        <v>SPGB  30-Jul-30  1.95</v>
      </c>
      <c r="AV123" s="702"/>
      <c r="AW123" s="684"/>
      <c r="AX123" s="684"/>
      <c r="AY123" s="684"/>
      <c r="AZ123" s="684"/>
      <c r="BA123" s="684"/>
      <c r="BB123" s="682"/>
      <c r="BC123" s="696"/>
      <c r="BE123" s="706">
        <f>_xll.xlDateShiftMonth(BE122,1)</f>
        <v>46596</v>
      </c>
      <c r="BF123" s="707">
        <v>1.8171301364245301E-2</v>
      </c>
      <c r="BU123" s="133" t="s">
        <v>599</v>
      </c>
      <c r="BV123" s="133" t="s">
        <v>599</v>
      </c>
      <c r="BW123" s="133" t="s">
        <v>599</v>
      </c>
      <c r="BX123" s="133" t="s">
        <v>599</v>
      </c>
      <c r="BY123" s="133" t="s">
        <v>599</v>
      </c>
      <c r="BZ123" s="133" t="s">
        <v>599</v>
      </c>
      <c r="CA123" s="133" t="s">
        <v>599</v>
      </c>
      <c r="CB123" s="133" t="s">
        <v>599</v>
      </c>
      <c r="CC123" s="133" t="s">
        <v>599</v>
      </c>
      <c r="CD123" s="133" t="s">
        <v>599</v>
      </c>
      <c r="CE123" s="133" t="s">
        <v>599</v>
      </c>
      <c r="CF123" s="133" t="s">
        <v>599</v>
      </c>
    </row>
    <row r="124" spans="1:84">
      <c r="A124" s="17"/>
      <c r="B124" s="16"/>
      <c r="C124" s="18"/>
      <c r="D124" s="720">
        <f>MAX(_xll.xlDateSettle("TARGET",$D$4,2),L124)</f>
        <v>43179</v>
      </c>
      <c r="E124" s="718" t="s">
        <v>838</v>
      </c>
      <c r="F124" s="13" t="s">
        <v>1329</v>
      </c>
      <c r="G124" s="35">
        <v>48425</v>
      </c>
      <c r="H124" s="37">
        <v>5.75</v>
      </c>
      <c r="I124" s="11">
        <v>48425</v>
      </c>
      <c r="J124" s="11">
        <v>37467</v>
      </c>
      <c r="K124" s="11">
        <v>37832</v>
      </c>
      <c r="L124" s="11">
        <v>36914</v>
      </c>
      <c r="M124" s="12">
        <v>93.718000000000004</v>
      </c>
      <c r="N124" s="12" t="s">
        <v>1397</v>
      </c>
      <c r="O124" s="12" t="s">
        <v>1178</v>
      </c>
      <c r="P124" s="12" t="s">
        <v>1398</v>
      </c>
      <c r="Q124" s="15">
        <v>21195631000</v>
      </c>
      <c r="R124" s="12"/>
      <c r="S124" s="43">
        <f>_xll.RtGet("IDN",$X124,$S$9)</f>
        <v>151.67400000000001</v>
      </c>
      <c r="T124" s="43">
        <f>_xll.RtGet("IDN",$X124,$T$9)</f>
        <v>151.88300000000001</v>
      </c>
      <c r="U124" s="25">
        <f t="shared" si="18"/>
        <v>151.77850000000001</v>
      </c>
      <c r="V124" s="12"/>
      <c r="W124" s="25">
        <f t="shared" si="11"/>
        <v>151.77850000000001</v>
      </c>
      <c r="X124" s="14" t="str">
        <f t="shared" si="12"/>
        <v>ES00001241=</v>
      </c>
      <c r="Y124" s="14"/>
      <c r="Z124" s="14"/>
      <c r="AA124" s="14"/>
      <c r="AB124" s="14"/>
      <c r="AC124" s="14"/>
      <c r="AD124" s="34">
        <f>IF(ISNUMBER($D124),_xll.xlBondYield($F124,$H124,$G124,$J124,$K124,$L124,$M124,$D124,$W124,IF(NOT($H124),TRUE,FALSE)),"")</f>
        <v>1.6655537576013915E-2</v>
      </c>
      <c r="AE124" s="12"/>
      <c r="AF124" s="12"/>
      <c r="AG124" s="12"/>
      <c r="AH124" s="14"/>
      <c r="AI124" s="14"/>
      <c r="AJ124" s="14"/>
      <c r="AK124" s="246">
        <f>IF(ISNUMBER($D124),_xll.xlBondAswSpread($F124&amp;T(TYPE($AV$1)),$H124,$G124,$J124,$K124,$L124,$M124,$D124,$W124,IF(NOT($H124),TRUE,FALSE),curveName,curveName,,,2),"")</f>
        <v>0.55287662081370581</v>
      </c>
      <c r="AL124" s="213">
        <f>IF($W124&gt;0,_xll.xlBondZSpread(F124&amp;T(TYPE($AV$1)),H124,G124,J124,K124,L124,M124,D124,U124,"annual",5,IF(NOT($H124),TRUE,FALSE),curveName)*100,"")</f>
        <v>44.735391061043636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4" t="str">
        <f>IF($AN$9+(($AL$9-$AM$9))*('DB Basis'!F284/10-'DB Basis'!E284),," ")</f>
        <v xml:space="preserve"> </v>
      </c>
      <c r="AO124" s="639">
        <f>IF(U124&gt;0,_xll.xlShmImplSwap2(curveName&amp;T(TYPE($AV$1)),curveName,D124,G124,,1,8,2,4),"")</f>
        <v>1.315982747712038E-2</v>
      </c>
      <c r="AP124" s="640">
        <f t="shared" si="13"/>
        <v>3.4957100988935348E-3</v>
      </c>
      <c r="AQ124" s="386">
        <f t="shared" si="14"/>
        <v>3.9892341719310909</v>
      </c>
      <c r="AR124" s="386">
        <f t="shared" si="15"/>
        <v>-1.7820297314879345</v>
      </c>
      <c r="AS124" s="388"/>
      <c r="AT124" s="242">
        <f t="shared" si="16"/>
        <v>1.6427379527027424</v>
      </c>
      <c r="AU124" s="686" t="str">
        <f t="shared" si="10"/>
        <v>SPGB  30-Jul-32  5.75</v>
      </c>
      <c r="AV124" s="702"/>
      <c r="AW124" s="684"/>
      <c r="AX124" s="684"/>
      <c r="AY124" s="684"/>
      <c r="AZ124" s="684"/>
      <c r="BA124" s="684"/>
      <c r="BB124" s="682"/>
      <c r="BC124" s="696"/>
      <c r="BE124" s="706">
        <f>_xll.xlDateShiftMonth(BE123,1)</f>
        <v>46627</v>
      </c>
      <c r="BF124" s="707">
        <v>1.8276375581515285E-2</v>
      </c>
      <c r="BU124" s="133" t="s">
        <v>599</v>
      </c>
      <c r="BV124" s="133" t="s">
        <v>599</v>
      </c>
      <c r="BW124" s="133" t="s">
        <v>599</v>
      </c>
      <c r="BX124" s="133" t="s">
        <v>599</v>
      </c>
      <c r="BY124" s="133" t="s">
        <v>599</v>
      </c>
      <c r="BZ124" s="133" t="s">
        <v>599</v>
      </c>
      <c r="CA124" s="133" t="s">
        <v>599</v>
      </c>
      <c r="CB124" s="133" t="s">
        <v>599</v>
      </c>
      <c r="CC124" s="133" t="s">
        <v>599</v>
      </c>
      <c r="CD124" s="133" t="s">
        <v>599</v>
      </c>
      <c r="CE124" s="133" t="s">
        <v>599</v>
      </c>
      <c r="CF124" s="133" t="s">
        <v>599</v>
      </c>
    </row>
    <row r="125" spans="1:84">
      <c r="A125" s="10"/>
      <c r="B125" s="11"/>
      <c r="C125" s="12"/>
      <c r="D125" s="720">
        <f>MAX(_xll.xlDateSettle("TARGET",$D$4,2),L125)</f>
        <v>43179</v>
      </c>
      <c r="E125" s="718" t="s">
        <v>949</v>
      </c>
      <c r="F125" s="13" t="s">
        <v>1329</v>
      </c>
      <c r="G125" s="35">
        <v>48790</v>
      </c>
      <c r="H125" s="37">
        <v>2.35</v>
      </c>
      <c r="I125" s="11">
        <v>48790</v>
      </c>
      <c r="J125" s="11">
        <v>42795</v>
      </c>
      <c r="K125" s="11">
        <v>42946</v>
      </c>
      <c r="L125" s="11">
        <v>42795</v>
      </c>
      <c r="M125" s="12">
        <v>999</v>
      </c>
      <c r="N125" s="12" t="s">
        <v>1399</v>
      </c>
      <c r="O125" s="12" t="s">
        <v>1197</v>
      </c>
      <c r="P125" s="12" t="s">
        <v>1400</v>
      </c>
      <c r="Q125" s="15">
        <v>12120468000</v>
      </c>
      <c r="R125" s="12"/>
      <c r="S125" s="43">
        <f>_xll.RtGet("IDN",$X125,$S$9)</f>
        <v>106.441</v>
      </c>
      <c r="T125" s="43">
        <f>_xll.RtGet("IDN",$X125,$T$9)</f>
        <v>106.602</v>
      </c>
      <c r="U125" s="25">
        <f t="shared" si="18"/>
        <v>106.5215</v>
      </c>
      <c r="V125" s="12"/>
      <c r="W125" s="25">
        <f t="shared" si="11"/>
        <v>106.5215</v>
      </c>
      <c r="X125" s="14" t="str">
        <f t="shared" si="12"/>
        <v>ES0000128Q=</v>
      </c>
      <c r="Y125" s="14"/>
      <c r="Z125" s="14"/>
      <c r="AA125" s="14"/>
      <c r="AB125" s="14"/>
      <c r="AC125" s="14"/>
      <c r="AD125" s="34">
        <f>IF(ISNUMBER($D125),_xll.xlBondYield($F125,$H125,$G125,$J125,$K125,$L125,$M125,$D125,$W125,IF(NOT($H125),TRUE,FALSE)),"")</f>
        <v>1.8571374010404759E-2</v>
      </c>
      <c r="AE125" s="12"/>
      <c r="AF125" s="12"/>
      <c r="AG125" s="12"/>
      <c r="AH125" s="14"/>
      <c r="AI125" s="14"/>
      <c r="AJ125" s="14"/>
      <c r="AK125" s="246">
        <f>IF(ISNUMBER($D125),_xll.xlBondAswSpread($F125&amp;T(TYPE($AV$1)),$H125,$G125,$J125,$K125,$L125,$M125,$D125,$W125,IF(NOT($H125),TRUE,FALSE),curveName,curveName,,,2),"")</f>
        <v>0.51842284389173499</v>
      </c>
      <c r="AL125" s="213">
        <f>IF($W125&gt;0,_xll.xlBondZSpread(F125&amp;T(TYPE($AV$1)),H125,G125,J125,K125,L125,M125,D125,U125,"annual",5,IF(NOT($H125),TRUE,FALSE),curveName)*100,"")</f>
        <v>52.514853304230954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4" t="str">
        <f>IF($AN$9+(($AL$9-$AM$9))*('DB Basis'!F285/10-'DB Basis'!E285),," ")</f>
        <v xml:space="preserve"> </v>
      </c>
      <c r="AO125" s="639">
        <f>IF(U125&gt;0,_xll.xlShmImplSwap2(curveName&amp;T(TYPE($AV$1)),curveName,D125,G125,,1,8,2,4),"")</f>
        <v>1.3618287446121089E-2</v>
      </c>
      <c r="AP125" s="640">
        <f t="shared" si="13"/>
        <v>4.953086564283669E-3</v>
      </c>
      <c r="AQ125" s="386">
        <f t="shared" si="14"/>
        <v>19.158364343908435</v>
      </c>
      <c r="AR125" s="386">
        <f t="shared" si="15"/>
        <v>14.573764653901343</v>
      </c>
      <c r="AS125" s="388"/>
      <c r="AT125" s="242">
        <f t="shared" si="16"/>
        <v>1.8316971626700584</v>
      </c>
      <c r="AU125" s="686" t="str">
        <f t="shared" si="10"/>
        <v>SPGB  30-Jul-33  2.35</v>
      </c>
      <c r="AV125" s="702"/>
      <c r="AW125" s="684"/>
      <c r="AX125" s="684"/>
      <c r="AY125" s="684"/>
      <c r="AZ125" s="684"/>
      <c r="BA125" s="684"/>
      <c r="BB125" s="682"/>
      <c r="BC125" s="696"/>
      <c r="BE125" s="706">
        <f>_xll.xlDateShiftMonth(BE124,1)</f>
        <v>46658</v>
      </c>
      <c r="BF125" s="707">
        <v>1.838392114352156E-2</v>
      </c>
      <c r="BU125" s="133" t="s">
        <v>599</v>
      </c>
      <c r="BV125" s="133" t="s">
        <v>599</v>
      </c>
      <c r="BW125" s="133" t="s">
        <v>599</v>
      </c>
      <c r="BX125" s="133" t="s">
        <v>599</v>
      </c>
      <c r="BY125" s="133" t="s">
        <v>599</v>
      </c>
      <c r="BZ125" s="133" t="s">
        <v>599</v>
      </c>
      <c r="CA125" s="133" t="s">
        <v>599</v>
      </c>
      <c r="CB125" s="133" t="s">
        <v>599</v>
      </c>
      <c r="CC125" s="133" t="s">
        <v>599</v>
      </c>
      <c r="CD125" s="133" t="s">
        <v>599</v>
      </c>
      <c r="CE125" s="133" t="s">
        <v>599</v>
      </c>
      <c r="CF125" s="133" t="s">
        <v>599</v>
      </c>
    </row>
    <row r="126" spans="1:84">
      <c r="A126" s="17"/>
      <c r="B126" s="16"/>
      <c r="C126" s="18"/>
      <c r="D126" s="720">
        <f>MAX(_xll.xlDateSettle("TARGET",$D$4,2),L126)</f>
        <v>43179</v>
      </c>
      <c r="E126" s="718" t="s">
        <v>839</v>
      </c>
      <c r="F126" s="13" t="s">
        <v>1329</v>
      </c>
      <c r="G126" s="35">
        <v>50071</v>
      </c>
      <c r="H126" s="37">
        <v>4.2</v>
      </c>
      <c r="I126" s="11">
        <v>50071</v>
      </c>
      <c r="J126" s="11">
        <v>38383</v>
      </c>
      <c r="K126" s="11">
        <v>38748</v>
      </c>
      <c r="L126" s="11">
        <v>38369</v>
      </c>
      <c r="M126" s="12">
        <v>98.85</v>
      </c>
      <c r="N126" s="12" t="s">
        <v>1401</v>
      </c>
      <c r="O126" s="12" t="s">
        <v>1197</v>
      </c>
      <c r="P126" s="12" t="s">
        <v>1402</v>
      </c>
      <c r="Q126" s="15">
        <v>19750574000</v>
      </c>
      <c r="R126" s="12"/>
      <c r="S126" s="43">
        <f>_xll.RtGet("IDN",$X126,$S$9)</f>
        <v>134.721</v>
      </c>
      <c r="T126" s="43">
        <f>_xll.RtGet("IDN",$X126,$T$9)</f>
        <v>134.91800000000001</v>
      </c>
      <c r="U126" s="25">
        <f t="shared" si="18"/>
        <v>134.81950000000001</v>
      </c>
      <c r="V126" s="12"/>
      <c r="W126" s="25">
        <f t="shared" si="11"/>
        <v>134.81950000000001</v>
      </c>
      <c r="X126" s="14" t="str">
        <f t="shared" si="12"/>
        <v>ES00001293=</v>
      </c>
      <c r="Y126" s="14"/>
      <c r="Z126" s="14"/>
      <c r="AA126" s="14"/>
      <c r="AB126" s="14"/>
      <c r="AC126" s="14"/>
      <c r="AD126" s="34">
        <f>IF(ISNUMBER($D126),_xll.xlBondYield($F126,$H126,$G126,$J126,$K126,$L126,$M126,$D126,$W126,IF(NOT($H126),TRUE,FALSE)),"")</f>
        <v>1.9713906417958726E-2</v>
      </c>
      <c r="AE126" s="12"/>
      <c r="AF126" s="12"/>
      <c r="AG126" s="12"/>
      <c r="AH126" s="14"/>
      <c r="AI126" s="14"/>
      <c r="AJ126" s="14"/>
      <c r="AK126" s="246">
        <f>IF(ISNUMBER($D126),_xll.xlBondAswSpread($F126&amp;T(TYPE($AV$1)),$H126,$G126,$J126,$K126,$L126,$M126,$D126,$W126,IF(NOT($H126),TRUE,FALSE),curveName,curveName,,,2),"")</f>
        <v>0.65511418599888893</v>
      </c>
      <c r="AL126" s="213">
        <f>IF($W126&gt;0,_xll.xlBondZSpread(F126&amp;T(TYPE($AV$1)),H126,G126,J126,K126,L126,M126,D126,U126,"annual",5,IF(NOT($H126),TRUE,FALSE),curveName)*100,"")</f>
        <v>57.492216573950294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4" t="str">
        <f>IF($AN$9+(($AL$9-$AM$9))*('DB Basis'!F286/10-'DB Basis'!E286),," ")</f>
        <v xml:space="preserve"> </v>
      </c>
      <c r="AO126" s="639">
        <f>IF(U126&gt;0,_xll.xlShmImplSwap2(curveName&amp;T(TYPE($AV$1)),curveName,D126,G126,,1,8,2,4),"")</f>
        <v>1.4697418678922412E-2</v>
      </c>
      <c r="AP126" s="640">
        <f t="shared" si="13"/>
        <v>5.0164877390363148E-3</v>
      </c>
      <c r="AQ126" s="386">
        <f t="shared" si="14"/>
        <v>3.2554592408836713</v>
      </c>
      <c r="AR126" s="386">
        <f t="shared" si="15"/>
        <v>0.18065127856920926</v>
      </c>
      <c r="AS126" s="388"/>
      <c r="AT126" s="242">
        <f t="shared" si="16"/>
        <v>1.9443852905383949</v>
      </c>
      <c r="AU126" s="686" t="str">
        <f t="shared" si="10"/>
        <v>SPGB  31-Jan-37  4.2</v>
      </c>
      <c r="AV126" s="702"/>
      <c r="AW126" s="684"/>
      <c r="AX126" s="684"/>
      <c r="AY126" s="684"/>
      <c r="AZ126" s="684"/>
      <c r="BA126" s="684"/>
      <c r="BB126" s="682"/>
      <c r="BC126" s="696"/>
      <c r="BE126" s="706">
        <f>_xll.xlDateShiftMonth(BE125,1)</f>
        <v>46688</v>
      </c>
      <c r="BF126" s="707">
        <v>1.8491424593078544E-2</v>
      </c>
      <c r="BU126" s="133" t="s">
        <v>599</v>
      </c>
      <c r="BV126" s="133" t="s">
        <v>599</v>
      </c>
      <c r="BW126" s="133" t="s">
        <v>599</v>
      </c>
      <c r="BX126" s="133" t="s">
        <v>599</v>
      </c>
      <c r="BY126" s="133" t="s">
        <v>599</v>
      </c>
      <c r="BZ126" s="133" t="s">
        <v>599</v>
      </c>
      <c r="CA126" s="133" t="s">
        <v>599</v>
      </c>
      <c r="CB126" s="133" t="s">
        <v>599</v>
      </c>
      <c r="CC126" s="133" t="s">
        <v>599</v>
      </c>
      <c r="CD126" s="133" t="s">
        <v>599</v>
      </c>
      <c r="CE126" s="133" t="s">
        <v>599</v>
      </c>
      <c r="CF126" s="133" t="s">
        <v>599</v>
      </c>
    </row>
    <row r="127" spans="1:84">
      <c r="A127" s="10"/>
      <c r="B127" s="11"/>
      <c r="C127" s="12"/>
      <c r="D127" s="720">
        <f>MAX(_xll.xlDateSettle("TARGET",$D$4,2),L127)</f>
        <v>43179</v>
      </c>
      <c r="E127" s="718" t="s">
        <v>840</v>
      </c>
      <c r="F127" s="13" t="s">
        <v>1334</v>
      </c>
      <c r="G127" s="35">
        <v>51347</v>
      </c>
      <c r="H127" s="37">
        <v>4.9000000000000004</v>
      </c>
      <c r="I127" s="11">
        <v>51347</v>
      </c>
      <c r="J127" s="11">
        <v>39253</v>
      </c>
      <c r="K127" s="11">
        <v>39293</v>
      </c>
      <c r="L127" s="11">
        <v>39253</v>
      </c>
      <c r="M127" s="12">
        <v>99.655000000000001</v>
      </c>
      <c r="N127" s="12" t="s">
        <v>1403</v>
      </c>
      <c r="O127" s="12" t="s">
        <v>1178</v>
      </c>
      <c r="P127" s="12" t="s">
        <v>1404</v>
      </c>
      <c r="Q127" s="15">
        <v>17895655000</v>
      </c>
      <c r="R127" s="12"/>
      <c r="S127" s="43">
        <f>_xll.RtGet("IDN",$X127,$S$9)</f>
        <v>148.60599999999999</v>
      </c>
      <c r="T127" s="43">
        <f>_xll.RtGet("IDN",$X127,$T$9)</f>
        <v>148.893</v>
      </c>
      <c r="U127" s="25">
        <f t="shared" si="18"/>
        <v>148.74950000000001</v>
      </c>
      <c r="V127" s="12"/>
      <c r="W127" s="25">
        <f t="shared" si="11"/>
        <v>148.74950000000001</v>
      </c>
      <c r="X127" s="14" t="str">
        <f t="shared" si="12"/>
        <v>ES0000120N=</v>
      </c>
      <c r="Y127" s="14"/>
      <c r="Z127" s="14"/>
      <c r="AA127" s="14"/>
      <c r="AB127" s="14"/>
      <c r="AC127" s="14"/>
      <c r="AD127" s="34">
        <f>IF(ISNUMBER($D127),_xll.xlBondYield($F127,$H127,$G127,$J127,$K127,$L127,$M127,$D127,$W127,IF(NOT($H127),TRUE,FALSE)),"")</f>
        <v>2.1348916145333068E-2</v>
      </c>
      <c r="AE127" s="12"/>
      <c r="AF127" s="12"/>
      <c r="AG127" s="12"/>
      <c r="AH127" s="14"/>
      <c r="AI127" s="14"/>
      <c r="AJ127" s="14"/>
      <c r="AK127" s="246">
        <f>IF(ISNUMBER($D127),_xll.xlBondAswSpread($F127&amp;T(TYPE($AV$1)),$H127,$G127,$J127,$K127,$L127,$M127,$D127,$W127,IF(NOT($H127),TRUE,FALSE),curveName,curveName,,,2),"")</f>
        <v>0.85407342564394362</v>
      </c>
      <c r="AL127" s="213">
        <f>IF($W127&gt;0,_xll.xlBondZSpread(F127&amp;T(TYPE($AV$1)),H127,G127,J127,K127,L127,M127,D127,U127,"annual",5,IF(NOT($H127),TRUE,FALSE),curveName)*100,"")</f>
        <v>70.001319099152525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4" t="str">
        <f>IF($AN$9+(($AL$9-$AM$9))*('DB Basis'!F287/10-'DB Basis'!E287),," ")</f>
        <v xml:space="preserve"> </v>
      </c>
      <c r="AO127" s="639">
        <f>IF(U127&gt;0,_xll.xlShmImplSwap2(curveName&amp;T(TYPE($AV$1)),curveName,D127,G127,,1,8,2,4),"")</f>
        <v>1.5177426491482682E-2</v>
      </c>
      <c r="AP127" s="640">
        <f t="shared" si="13"/>
        <v>6.1714896538503858E-3</v>
      </c>
      <c r="AQ127" s="386">
        <f t="shared" si="14"/>
        <v>4.6769478878654738</v>
      </c>
      <c r="AR127" s="386">
        <f t="shared" si="15"/>
        <v>3.3038847876734785</v>
      </c>
      <c r="AS127" s="388"/>
      <c r="AT127" s="242">
        <f t="shared" si="16"/>
        <v>2.1056465239232613</v>
      </c>
      <c r="AU127" s="686" t="str">
        <f t="shared" si="10"/>
        <v>EURO12M  30-Jul-40  4.9</v>
      </c>
      <c r="AV127" s="702"/>
      <c r="AW127" s="684"/>
      <c r="AX127" s="684"/>
      <c r="AY127" s="684"/>
      <c r="AZ127" s="684"/>
      <c r="BA127" s="684"/>
      <c r="BB127" s="682"/>
      <c r="BC127" s="696"/>
      <c r="BE127" s="706">
        <f>_xll.xlDateShiftMonth(BE126,1)</f>
        <v>46719</v>
      </c>
      <c r="BF127" s="707">
        <v>1.860635506038048E-2</v>
      </c>
      <c r="BU127" s="133" t="s">
        <v>599</v>
      </c>
      <c r="BV127" s="133" t="s">
        <v>599</v>
      </c>
      <c r="BW127" s="133" t="s">
        <v>599</v>
      </c>
      <c r="BX127" s="133" t="s">
        <v>599</v>
      </c>
      <c r="BY127" s="133" t="s">
        <v>599</v>
      </c>
      <c r="BZ127" s="133" t="s">
        <v>599</v>
      </c>
      <c r="CA127" s="133" t="s">
        <v>599</v>
      </c>
      <c r="CB127" s="133" t="s">
        <v>599</v>
      </c>
      <c r="CC127" s="133" t="s">
        <v>599</v>
      </c>
      <c r="CD127" s="133" t="s">
        <v>599</v>
      </c>
      <c r="CE127" s="133" t="s">
        <v>599</v>
      </c>
      <c r="CF127" s="133" t="s">
        <v>599</v>
      </c>
    </row>
    <row r="128" spans="1:84">
      <c r="A128" s="17"/>
      <c r="B128" s="16"/>
      <c r="C128" s="18"/>
      <c r="D128" s="720">
        <f>MAX(_xll.xlDateSettle("TARGET",$D$4,2),L128)</f>
        <v>43179</v>
      </c>
      <c r="E128" s="718" t="s">
        <v>841</v>
      </c>
      <c r="F128" s="13" t="s">
        <v>1329</v>
      </c>
      <c r="G128" s="35">
        <v>51712</v>
      </c>
      <c r="H128" s="37">
        <v>4.7</v>
      </c>
      <c r="I128" s="11">
        <v>51712</v>
      </c>
      <c r="J128" s="11">
        <v>40084</v>
      </c>
      <c r="K128" s="11">
        <v>40389</v>
      </c>
      <c r="L128" s="11">
        <v>40084</v>
      </c>
      <c r="M128" s="12">
        <v>99.753</v>
      </c>
      <c r="N128" s="12" t="s">
        <v>1405</v>
      </c>
      <c r="O128" s="12" t="s">
        <v>1197</v>
      </c>
      <c r="P128" s="12" t="s">
        <v>1406</v>
      </c>
      <c r="Q128" s="15">
        <v>18802544000</v>
      </c>
      <c r="R128" s="12"/>
      <c r="S128" s="43">
        <f>_xll.RtGet("IDN",$X128,$S$9)</f>
        <v>146.04400000000001</v>
      </c>
      <c r="T128" s="43">
        <f>_xll.RtGet("IDN",$X128,$T$9)</f>
        <v>146.34700000000001</v>
      </c>
      <c r="U128" s="25">
        <f t="shared" si="18"/>
        <v>146.19550000000001</v>
      </c>
      <c r="V128" s="12"/>
      <c r="W128" s="25">
        <f t="shared" si="11"/>
        <v>146.19550000000001</v>
      </c>
      <c r="X128" s="14" t="str">
        <f t="shared" si="12"/>
        <v>ES0000121S=</v>
      </c>
      <c r="Y128" s="14"/>
      <c r="Z128" s="14"/>
      <c r="AA128" s="14"/>
      <c r="AB128" s="14"/>
      <c r="AC128" s="14"/>
      <c r="AD128" s="34">
        <f>IF(ISNUMBER($D128),_xll.xlBondYield($F128,$H128,$G128,$J128,$K128,$L128,$M128,$D128,$W128,IF(NOT($H128),TRUE,FALSE)),"")</f>
        <v>2.1602467246053983E-2</v>
      </c>
      <c r="AE128" s="12"/>
      <c r="AF128" s="12"/>
      <c r="AG128" s="12"/>
      <c r="AH128" s="14"/>
      <c r="AI128" s="14"/>
      <c r="AJ128" s="14"/>
      <c r="AK128" s="246">
        <f>IF(ISNUMBER($D128),_xll.xlBondAswSpread($F128&amp;T(TYPE($AV$1)),$H128,$G128,$J128,$K128,$L128,$M128,$D128,$W128,IF(NOT($H128),TRUE,FALSE),curveName,curveName,,,2),"")</f>
        <v>0.86109881690775103</v>
      </c>
      <c r="AL128" s="213">
        <f>IF($W128&gt;0,_xll.xlBondZSpread(F128&amp;T(TYPE($AV$1)),H128,G128,J128,K128,L128,M128,D128,U128,"annual",5,IF(NOT($H128),TRUE,FALSE),curveName)*100,"")</f>
        <v>71.327090497668593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4" t="str">
        <f>IF($AN$9+(($AL$9-$AM$9))*('DB Basis'!F288/10-'DB Basis'!E288),," ")</f>
        <v xml:space="preserve"> </v>
      </c>
      <c r="AO128" s="639">
        <f>IF(U128&gt;0,_xll.xlShmImplSwap2(curveName&amp;T(TYPE($AV$1)),curveName,D128,G128,,1,8,2,4),"")</f>
        <v>1.5243561178950205E-2</v>
      </c>
      <c r="AP128" s="640">
        <f t="shared" si="13"/>
        <v>6.3589060671037784E-3</v>
      </c>
      <c r="AQ128" s="386">
        <f t="shared" si="14"/>
        <v>2.5355110072091542</v>
      </c>
      <c r="AR128" s="386">
        <f t="shared" si="15"/>
        <v>1.8741641325339256</v>
      </c>
      <c r="AS128" s="388"/>
      <c r="AT128" s="242">
        <f t="shared" si="16"/>
        <v>2.1306543037203927</v>
      </c>
      <c r="AU128" s="686" t="str">
        <f t="shared" si="10"/>
        <v>SPGB  30-Jul-41  4.7</v>
      </c>
      <c r="AV128" s="702"/>
      <c r="AW128" s="684"/>
      <c r="AX128" s="684"/>
      <c r="AY128" s="684"/>
      <c r="AZ128" s="684"/>
      <c r="BA128" s="684"/>
      <c r="BB128" s="682"/>
      <c r="BC128" s="696"/>
      <c r="BE128" s="706">
        <f>_xll.xlDateShiftMonth(BE127,1)</f>
        <v>46749</v>
      </c>
      <c r="BF128" s="707">
        <v>1.8720315726228804E-2</v>
      </c>
      <c r="BU128" s="133" t="s">
        <v>599</v>
      </c>
      <c r="BV128" s="133" t="s">
        <v>599</v>
      </c>
      <c r="BW128" s="133" t="s">
        <v>599</v>
      </c>
      <c r="BX128" s="133" t="s">
        <v>599</v>
      </c>
      <c r="BY128" s="133" t="s">
        <v>599</v>
      </c>
      <c r="BZ128" s="133" t="s">
        <v>599</v>
      </c>
      <c r="CA128" s="133" t="s">
        <v>599</v>
      </c>
      <c r="CB128" s="133" t="s">
        <v>599</v>
      </c>
      <c r="CC128" s="133" t="s">
        <v>599</v>
      </c>
      <c r="CD128" s="133" t="s">
        <v>599</v>
      </c>
      <c r="CE128" s="133" t="s">
        <v>599</v>
      </c>
      <c r="CF128" s="133" t="s">
        <v>599</v>
      </c>
    </row>
    <row r="129" spans="1:84">
      <c r="A129" s="10"/>
      <c r="B129" s="11"/>
      <c r="C129" s="12"/>
      <c r="D129" s="720">
        <f>MAX(_xll.xlDateSettle("TARGET",$D$4,2),L129)</f>
        <v>43179</v>
      </c>
      <c r="E129" s="718" t="s">
        <v>842</v>
      </c>
      <c r="F129" s="13" t="s">
        <v>1329</v>
      </c>
      <c r="G129" s="35">
        <v>52901</v>
      </c>
      <c r="H129" s="37">
        <v>5.15</v>
      </c>
      <c r="I129" s="11">
        <v>52901</v>
      </c>
      <c r="J129" s="11">
        <v>41563</v>
      </c>
      <c r="K129" s="11">
        <v>41578</v>
      </c>
      <c r="L129" s="11">
        <v>41563</v>
      </c>
      <c r="M129" s="12">
        <v>99.046000000000006</v>
      </c>
      <c r="N129" s="12" t="s">
        <v>1407</v>
      </c>
      <c r="O129" s="12" t="s">
        <v>1178</v>
      </c>
      <c r="P129" s="12" t="s">
        <v>1408</v>
      </c>
      <c r="Q129" s="15">
        <v>13167409000</v>
      </c>
      <c r="R129" s="12"/>
      <c r="S129" s="43">
        <f>_xll.RtGet("IDN",$X129,$S$9)</f>
        <v>156.44499999999999</v>
      </c>
      <c r="T129" s="43">
        <f>_xll.RtGet("IDN",$X129,$T$9)</f>
        <v>156.73699999999999</v>
      </c>
      <c r="U129" s="25">
        <f t="shared" si="18"/>
        <v>156.59100000000001</v>
      </c>
      <c r="V129" s="12"/>
      <c r="W129" s="25">
        <f t="shared" si="11"/>
        <v>156.59100000000001</v>
      </c>
      <c r="X129" s="14" t="str">
        <f t="shared" si="12"/>
        <v>ES0000124H=</v>
      </c>
      <c r="Y129" s="14"/>
      <c r="Z129" s="14"/>
      <c r="AA129" s="14"/>
      <c r="AB129" s="14"/>
      <c r="AC129" s="14"/>
      <c r="AD129" s="34">
        <f>IF(ISNUMBER($D129),_xll.xlBondYield($F129,$H129,$G129,$J129,$K129,$L129,$M129,$D129,$W129,IF(NOT($H129),TRUE,FALSE)),"")</f>
        <v>2.287096283265664E-2</v>
      </c>
      <c r="AE129" s="12"/>
      <c r="AF129" s="12"/>
      <c r="AG129" s="12"/>
      <c r="AH129" s="14"/>
      <c r="AI129" s="14"/>
      <c r="AJ129" s="14"/>
      <c r="AK129" s="246">
        <f>IF(ISNUMBER($D129),_xll.xlBondAswSpread($F129&amp;T(TYPE($AV$1)),$H129,$G129,$J129,$K129,$L129,$M129,$D129,$W129,IF(NOT($H129),TRUE,FALSE),curveName,curveName,,,2),"")</f>
        <v>1.0567199395717364</v>
      </c>
      <c r="AL129" s="213">
        <f>IF($W129&gt;0,_xll.xlBondZSpread(F129&amp;T(TYPE($AV$1)),H129,G129,J129,K129,L129,M129,D129,U129,"annual",5,IF(NOT($H129),TRUE,FALSE),curveName)*100,"")</f>
        <v>82.997127419080456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4" t="str">
        <f>IF($AN$9+(($AL$9-$AM$9))*('DB Basis'!F289/10-'DB Basis'!E289),," ")</f>
        <v xml:space="preserve"> </v>
      </c>
      <c r="AO129" s="639">
        <f>IF(U129&gt;0,_xll.xlShmImplSwap2(curveName&amp;T(TYPE($AV$1)),curveName,D129,G129,,1,8,2,4),"")</f>
        <v>1.5330662960912582E-2</v>
      </c>
      <c r="AP129" s="640">
        <f t="shared" si="13"/>
        <v>7.5402998717440575E-3</v>
      </c>
      <c r="AQ129" s="386">
        <f t="shared" si="14"/>
        <v>3.8940360732545813</v>
      </c>
      <c r="AR129" s="386">
        <f t="shared" si="15"/>
        <v>3.6266504515870635</v>
      </c>
      <c r="AS129" s="388"/>
      <c r="AT129" s="242">
        <f t="shared" si="16"/>
        <v>2.2557661971935317</v>
      </c>
      <c r="AU129" s="686" t="str">
        <f t="shared" si="10"/>
        <v>SPGB  31-Oct-44  5.15</v>
      </c>
      <c r="AV129" s="702"/>
      <c r="AW129" s="684"/>
      <c r="AX129" s="684"/>
      <c r="AY129" s="684"/>
      <c r="AZ129" s="684"/>
      <c r="BA129" s="684"/>
      <c r="BB129" s="682"/>
      <c r="BC129" s="696"/>
      <c r="BE129" s="706">
        <f>_xll.xlDateShiftMonth(BE128,1)</f>
        <v>46780</v>
      </c>
      <c r="BF129" s="707">
        <v>1.8840544335940661E-2</v>
      </c>
      <c r="BU129" s="133" t="s">
        <v>599</v>
      </c>
      <c r="BV129" s="133" t="s">
        <v>599</v>
      </c>
      <c r="BW129" s="133" t="s">
        <v>599</v>
      </c>
      <c r="BX129" s="133" t="s">
        <v>599</v>
      </c>
      <c r="BY129" s="133" t="s">
        <v>599</v>
      </c>
      <c r="BZ129" s="133" t="s">
        <v>599</v>
      </c>
      <c r="CA129" s="133" t="s">
        <v>599</v>
      </c>
      <c r="CB129" s="133" t="s">
        <v>599</v>
      </c>
      <c r="CC129" s="133" t="s">
        <v>599</v>
      </c>
      <c r="CD129" s="133" t="s">
        <v>599</v>
      </c>
      <c r="CE129" s="133" t="s">
        <v>599</v>
      </c>
      <c r="CF129" s="133" t="s">
        <v>599</v>
      </c>
    </row>
    <row r="130" spans="1:84">
      <c r="A130" s="17"/>
      <c r="B130" s="16"/>
      <c r="C130" s="18"/>
      <c r="D130" s="720">
        <f>MAX(_xll.xlDateSettle("TARGET",$D$4,2),L130)</f>
        <v>43179</v>
      </c>
      <c r="E130" s="718" t="s">
        <v>843</v>
      </c>
      <c r="F130" s="13" t="s">
        <v>1329</v>
      </c>
      <c r="G130" s="35">
        <v>53631</v>
      </c>
      <c r="H130" s="37">
        <v>2.9</v>
      </c>
      <c r="I130" s="11">
        <v>53631</v>
      </c>
      <c r="J130" s="11">
        <v>42444</v>
      </c>
      <c r="K130" s="11">
        <v>42674</v>
      </c>
      <c r="L130" s="11">
        <v>42444</v>
      </c>
      <c r="M130" s="12">
        <v>999</v>
      </c>
      <c r="N130" s="12" t="s">
        <v>1409</v>
      </c>
      <c r="O130" s="12" t="s">
        <v>1197</v>
      </c>
      <c r="P130" s="12" t="s">
        <v>1410</v>
      </c>
      <c r="Q130" s="15">
        <v>16281298000</v>
      </c>
      <c r="R130" s="12"/>
      <c r="S130" s="43">
        <f>_xll.RtGet("IDN",$X130,$S$9)</f>
        <v>110.68900000000001</v>
      </c>
      <c r="T130" s="43">
        <f>_xll.RtGet("IDN",$X130,$T$9)</f>
        <v>110.904</v>
      </c>
      <c r="U130" s="25">
        <f t="shared" si="18"/>
        <v>110.79650000000001</v>
      </c>
      <c r="V130" s="12"/>
      <c r="W130" s="25">
        <f t="shared" si="11"/>
        <v>110.79650000000001</v>
      </c>
      <c r="X130" s="14" t="str">
        <f t="shared" si="12"/>
        <v>ES0000128C=</v>
      </c>
      <c r="Y130" s="14"/>
      <c r="Z130" s="14"/>
      <c r="AA130" s="14"/>
      <c r="AB130" s="14"/>
      <c r="AC130" s="14"/>
      <c r="AD130" s="34">
        <f>IF(ISNUMBER($D130),_xll.xlBondYield($F130,$H130,$G130,$J130,$K130,$L130,$M130,$D130,$W130,IF(NOT($H130),TRUE,FALSE)),"")</f>
        <v>2.3753084056961291E-2</v>
      </c>
      <c r="AE130" s="12"/>
      <c r="AF130" s="12"/>
      <c r="AG130" s="12"/>
      <c r="AH130" s="14"/>
      <c r="AI130" s="14"/>
      <c r="AJ130" s="14"/>
      <c r="AK130" s="246">
        <f>IF(ISNUMBER($D130),_xll.xlBondAswSpread($F130&amp;T(TYPE($AV$1)),$H130,$G130,$J130,$K130,$L130,$M130,$D130,$W130,IF(NOT($H130),TRUE,FALSE),curveName,curveName,,,2),"")</f>
        <v>0.88989225008972772</v>
      </c>
      <c r="AL130" s="213">
        <f>IF($W130&gt;0,_xll.xlBondZSpread(F130&amp;T(TYPE($AV$1)),H130,G130,J130,K130,L130,M130,D130,U130,"annual",5,IF(NOT($H130),TRUE,FALSE),curveName)*100,"")</f>
        <v>87.812518919926504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4" t="str">
        <f>IF($AN$9+(($AL$9-$AM$9))*('DB Basis'!F290/10-'DB Basis'!E290),," ")</f>
        <v xml:space="preserve"> </v>
      </c>
      <c r="AO130" s="639">
        <f>IF(U130&gt;0,_xll.xlShmImplSwap2(curveName&amp;T(TYPE($AV$1)),curveName,D130,G130,,1,8,2,4),"")</f>
        <v>1.5348541428751018E-2</v>
      </c>
      <c r="AP130" s="640">
        <f t="shared" si="13"/>
        <v>8.404542628210273E-3</v>
      </c>
      <c r="AQ130" s="386">
        <f t="shared" si="14"/>
        <v>4.4106061215232542</v>
      </c>
      <c r="AR130" s="386">
        <f t="shared" si="15"/>
        <v>4.3212137823310774</v>
      </c>
      <c r="AS130" s="388"/>
      <c r="AT130" s="242">
        <f t="shared" si="16"/>
        <v>2.3427699343852231</v>
      </c>
      <c r="AU130" s="686" t="str">
        <f t="shared" si="10"/>
        <v>SPGB  31-Oct-46  2.9</v>
      </c>
      <c r="AV130" s="702"/>
      <c r="AW130" s="684"/>
      <c r="AX130" s="684"/>
      <c r="AY130" s="684"/>
      <c r="AZ130" s="684"/>
      <c r="BA130" s="684"/>
      <c r="BB130" s="683"/>
      <c r="BC130" s="696"/>
      <c r="BE130" s="706">
        <f>_xll.xlDateShiftMonth(BE129,1)</f>
        <v>46811</v>
      </c>
      <c r="BF130" s="707">
        <v>1.8962930949411854E-2</v>
      </c>
      <c r="BU130" s="133" t="s">
        <v>599</v>
      </c>
      <c r="BV130" s="133" t="s">
        <v>599</v>
      </c>
      <c r="BW130" s="133" t="s">
        <v>599</v>
      </c>
      <c r="BX130" s="133" t="s">
        <v>599</v>
      </c>
      <c r="BY130" s="133" t="s">
        <v>599</v>
      </c>
      <c r="BZ130" s="133" t="s">
        <v>599</v>
      </c>
      <c r="CA130" s="133" t="s">
        <v>599</v>
      </c>
      <c r="CB130" s="133" t="s">
        <v>599</v>
      </c>
      <c r="CC130" s="133" t="s">
        <v>599</v>
      </c>
      <c r="CD130" s="133" t="s">
        <v>599</v>
      </c>
      <c r="CE130" s="133" t="s">
        <v>599</v>
      </c>
      <c r="CF130" s="133" t="s">
        <v>599</v>
      </c>
    </row>
    <row r="131" spans="1:84" hidden="1">
      <c r="A131" s="10"/>
      <c r="B131" s="11"/>
      <c r="C131" s="12"/>
      <c r="D131" s="720">
        <f>MAX(_xll.xlDateSettle("TARGET",$D$4,2),L131)</f>
        <v>43179</v>
      </c>
      <c r="E131" s="718" t="s">
        <v>1732</v>
      </c>
      <c r="F131" s="13" t="s">
        <v>1329</v>
      </c>
      <c r="G131" s="35">
        <v>54362</v>
      </c>
      <c r="H131" s="37">
        <v>2.7</v>
      </c>
      <c r="I131" s="11">
        <v>54362</v>
      </c>
      <c r="J131" s="11">
        <v>43158</v>
      </c>
      <c r="K131" s="11">
        <v>43404</v>
      </c>
      <c r="L131" s="11">
        <v>43158</v>
      </c>
      <c r="M131" s="12">
        <v>999</v>
      </c>
      <c r="N131" s="12" t="s">
        <v>1733</v>
      </c>
      <c r="O131" s="12" t="s">
        <v>1178</v>
      </c>
      <c r="P131" s="12" t="s">
        <v>1734</v>
      </c>
      <c r="Q131" s="15">
        <v>6000000000</v>
      </c>
      <c r="R131" s="12"/>
      <c r="S131" s="43">
        <f>_xll.RtGet("IDN",$X131,$S$9)</f>
        <v>104.813</v>
      </c>
      <c r="T131" s="43">
        <f>_xll.RtGet("IDN",$X131,$T$9)</f>
        <v>105.31100000000001</v>
      </c>
      <c r="U131" s="25"/>
      <c r="V131" s="12"/>
      <c r="W131" s="25"/>
      <c r="X131" s="14" t="str">
        <f t="shared" si="12"/>
        <v>ES000012B4=</v>
      </c>
      <c r="Y131" s="14"/>
      <c r="Z131" s="14"/>
      <c r="AA131" s="14"/>
      <c r="AB131" s="14"/>
      <c r="AC131" s="14"/>
      <c r="AD131" s="34" t="str">
        <f>IF(ISNUMBER($D131),_xll.xlBondYield($F131,$H131,$G131,$J131,$K131,$L131,$M131,$D131,$W131,IF(NOT($H131),TRUE,FALSE)),"")</f>
        <v>Invalid price</v>
      </c>
      <c r="AE131" s="12"/>
      <c r="AF131" s="12"/>
      <c r="AG131" s="12"/>
      <c r="AH131" s="14"/>
      <c r="AI131" s="14"/>
      <c r="AJ131" s="14"/>
      <c r="AK131" s="246" t="str">
        <f>IF(ISNUMBER($D131),_xll.xlBondAswSpread($F131&amp;T(TYPE($AV$1)),$H131,$G131,$J131,$K131,$L131,$M131,$D131,$W131,IF(NOT($H131),TRUE,FALSE),curveName,curveName,,,2),"")</f>
        <v>Invalid price</v>
      </c>
      <c r="AL131" s="213" t="str">
        <f>IF($W131&gt;0,_xll.xlBondZSpread(F131&amp;T(TYPE($AV$1)),H131,G131,J131,K131,L131,M131,D131,U131,"annual",5,IF(NOT($H131),TRUE,FALSE),curveName)*100,"")</f>
        <v/>
      </c>
      <c r="AM131" s="266"/>
      <c r="AN131" s="274" t="str">
        <f>IF($AN$9+(($AL$9-$AM$9))*('DB Basis'!F291/10-'DB Basis'!E291),," ")</f>
        <v xml:space="preserve"> </v>
      </c>
      <c r="AO131" s="639" t="str">
        <f>IF(U131&gt;0,_xll.xlShmImplSwap2(curveName&amp;T(TYPE($AV$1)),curveName,D131,G131,,1,8,2,4),"")</f>
        <v/>
      </c>
      <c r="AP131" s="640"/>
      <c r="AQ131" s="386"/>
      <c r="AR131" s="386"/>
      <c r="AS131" s="388"/>
      <c r="AT131" s="242" t="str">
        <f t="shared" si="16"/>
        <v>-</v>
      </c>
      <c r="AU131" s="686" t="str">
        <f t="shared" si="10"/>
        <v>SPGB  31-Oct-48  2.7</v>
      </c>
      <c r="AV131" s="702"/>
      <c r="AW131" s="684"/>
      <c r="AX131" s="684"/>
      <c r="AY131" s="684"/>
      <c r="AZ131" s="684"/>
      <c r="BA131" s="684"/>
      <c r="BB131" s="683"/>
      <c r="BC131" s="696"/>
      <c r="BE131" s="706">
        <f>_xll.xlDateShiftMonth(BE130,1)</f>
        <v>46840</v>
      </c>
      <c r="BF131" s="707">
        <v>1.9079060344944603E-2</v>
      </c>
      <c r="BU131" s="133" t="s">
        <v>599</v>
      </c>
      <c r="BV131" s="133" t="s">
        <v>599</v>
      </c>
      <c r="BW131" s="133" t="s">
        <v>599</v>
      </c>
      <c r="BX131" s="133" t="s">
        <v>599</v>
      </c>
      <c r="BY131" s="133" t="s">
        <v>599</v>
      </c>
      <c r="BZ131" s="133" t="s">
        <v>599</v>
      </c>
      <c r="CA131" s="133" t="s">
        <v>599</v>
      </c>
      <c r="CB131" s="133" t="s">
        <v>599</v>
      </c>
      <c r="CC131" s="133" t="s">
        <v>599</v>
      </c>
      <c r="CD131" s="133" t="s">
        <v>599</v>
      </c>
      <c r="CE131" s="133" t="s">
        <v>599</v>
      </c>
      <c r="CF131" s="133" t="s">
        <v>599</v>
      </c>
    </row>
    <row r="132" spans="1:84">
      <c r="A132" s="17"/>
      <c r="B132" s="16"/>
      <c r="C132" s="18"/>
      <c r="D132" s="720">
        <f>MAX(_xll.xlDateSettle("TARGET",$D$4,2),L132)</f>
        <v>43179</v>
      </c>
      <c r="E132" s="718" t="s">
        <v>1635</v>
      </c>
      <c r="F132" s="13" t="s">
        <v>1329</v>
      </c>
      <c r="G132" s="35">
        <v>60843</v>
      </c>
      <c r="H132" s="37">
        <v>3.45</v>
      </c>
      <c r="I132" s="11">
        <v>60843</v>
      </c>
      <c r="J132" s="11">
        <v>42508</v>
      </c>
      <c r="K132" s="11">
        <v>42581</v>
      </c>
      <c r="L132" s="11">
        <v>42508</v>
      </c>
      <c r="M132" s="12">
        <v>999</v>
      </c>
      <c r="N132" s="12" t="s">
        <v>1411</v>
      </c>
      <c r="O132" s="12" t="s">
        <v>1197</v>
      </c>
      <c r="P132" s="12" t="s">
        <v>1412</v>
      </c>
      <c r="Q132" s="15">
        <v>7584579000</v>
      </c>
      <c r="R132" s="12"/>
      <c r="S132" s="43">
        <f>_xll.RtGet("IDN",$X132,$S$9)</f>
        <v>119.864</v>
      </c>
      <c r="T132" s="43">
        <f>_xll.RtGet("IDN",$X132,$T$9)</f>
        <v>120.468</v>
      </c>
      <c r="U132" s="25">
        <f t="shared" si="18"/>
        <v>120.166</v>
      </c>
      <c r="V132" s="12"/>
      <c r="W132" s="25">
        <f t="shared" si="11"/>
        <v>120.166</v>
      </c>
      <c r="X132" s="14" t="str">
        <f t="shared" si="12"/>
        <v>ES0000128E=</v>
      </c>
      <c r="Y132" s="14"/>
      <c r="Z132" s="14"/>
      <c r="AA132" s="14"/>
      <c r="AB132" s="14"/>
      <c r="AC132" s="14"/>
      <c r="AD132" s="34">
        <f>IF(ISNUMBER($D132),_xll.xlBondYield($F132,$H132,$G132,$J132,$K132,$L132,$M132,$D132,$W132,IF(NOT($H132),TRUE,FALSE)),"")</f>
        <v>2.6980514412847489E-2</v>
      </c>
      <c r="AE132" s="12"/>
      <c r="AF132" s="12"/>
      <c r="AG132" s="12"/>
      <c r="AH132" s="14"/>
      <c r="AI132" s="14"/>
      <c r="AJ132" s="14"/>
      <c r="AK132" s="246">
        <f>IF(ISNUMBER($D132),_xll.xlBondAswSpread($F132&amp;T(TYPE($AV$1)),$H132,$G132,$J132,$K132,$L132,$M132,$D132,$W132,IF(NOT($H132),TRUE,FALSE),curveName,curveName,,,2),"")</f>
        <v>1.3539672604899928</v>
      </c>
      <c r="AL132" s="213">
        <f>IF($W132&gt;0,_xll.xlBondZSpread(F132&amp;T(TYPE($AV$1)),H132,G132,J132,K132,L132,M132,D132,U132,"annual",5,IF(NOT($H132),TRUE,FALSE),curveName)*100,"")</f>
        <v>123.26655663250618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4" t="str">
        <f>IF($AN$9+(($AL$9-$AM$9))*('DB Basis'!F292/10-'DB Basis'!E292),," ")</f>
        <v xml:space="preserve"> </v>
      </c>
      <c r="AO132" s="639">
        <f>IF(U132&gt;0,_xll.xlShmImplSwap2(curveName&amp;T(TYPE($AV$1)),curveName,D132,G132,,1,8,2,4),"")</f>
        <v>1.4856709347764417E-2</v>
      </c>
      <c r="AP132" s="640">
        <f t="shared" si="13"/>
        <v>1.2123805065083072E-2</v>
      </c>
      <c r="AQ132" s="386" t="str">
        <f t="shared" si="14"/>
        <v>-</v>
      </c>
      <c r="AR132" s="386">
        <f t="shared" si="15"/>
        <v>6.827941442301066</v>
      </c>
      <c r="AS132" s="388"/>
      <c r="AT132" s="242">
        <f t="shared" si="16"/>
        <v>2.6610918325000266</v>
      </c>
      <c r="AU132" s="686" t="str">
        <f t="shared" si="10"/>
        <v>SPGB  30-Jul-66  3.45</v>
      </c>
      <c r="AV132" s="702"/>
      <c r="AW132" s="684"/>
      <c r="AX132" s="684"/>
      <c r="AY132" s="684"/>
      <c r="AZ132" s="684"/>
      <c r="BA132" s="684"/>
      <c r="BB132" s="683"/>
      <c r="BC132" s="696"/>
      <c r="BE132" s="706">
        <f>_xll.xlDateShiftMonth(BE131,1)</f>
        <v>46871</v>
      </c>
      <c r="BF132" s="707">
        <v>1.9204613685355146E-2</v>
      </c>
      <c r="BU132" s="133" t="s">
        <v>599</v>
      </c>
      <c r="BV132" s="133" t="s">
        <v>599</v>
      </c>
      <c r="BW132" s="133" t="s">
        <v>599</v>
      </c>
      <c r="BX132" s="133" t="s">
        <v>599</v>
      </c>
      <c r="BY132" s="133" t="s">
        <v>599</v>
      </c>
      <c r="BZ132" s="133" t="s">
        <v>599</v>
      </c>
      <c r="CA132" s="133" t="s">
        <v>599</v>
      </c>
      <c r="CB132" s="133" t="s">
        <v>599</v>
      </c>
      <c r="CC132" s="133" t="s">
        <v>599</v>
      </c>
      <c r="CD132" s="133" t="s">
        <v>599</v>
      </c>
      <c r="CE132" s="133" t="s">
        <v>599</v>
      </c>
      <c r="CF132" s="133" t="s">
        <v>599</v>
      </c>
    </row>
    <row r="133" spans="1:84">
      <c r="A133" s="10"/>
      <c r="B133" s="11"/>
      <c r="C133" s="12"/>
      <c r="D133" s="720">
        <f>MAX(_xll.xlDateSettle("TARGET",$D$4,2),L133)</f>
        <v>43179</v>
      </c>
      <c r="E133" s="718" t="s">
        <v>790</v>
      </c>
      <c r="F133" s="13" t="s">
        <v>1413</v>
      </c>
      <c r="G133" s="35">
        <v>43175</v>
      </c>
      <c r="H133" s="37">
        <v>0</v>
      </c>
      <c r="I133" s="11">
        <v>43175</v>
      </c>
      <c r="J133" s="11">
        <v>42412</v>
      </c>
      <c r="K133" s="11">
        <v>42810</v>
      </c>
      <c r="L133" s="11">
        <v>42412</v>
      </c>
      <c r="M133" s="12">
        <v>101.062</v>
      </c>
      <c r="N133" s="12" t="s">
        <v>1414</v>
      </c>
      <c r="O133" s="12" t="s">
        <v>1178</v>
      </c>
      <c r="P133" s="12" t="s">
        <v>1415</v>
      </c>
      <c r="Q133" s="15">
        <v>13000000000</v>
      </c>
      <c r="R133" s="12"/>
      <c r="S133" s="43">
        <f>_xll.RtGet("IDN",$X133,$S$9)</f>
        <v>99.987000000000009</v>
      </c>
      <c r="T133" s="43">
        <f>_xll.RtGet("IDN",$X133,$T$9)</f>
        <v>100.032</v>
      </c>
      <c r="U133" s="25">
        <f t="shared" si="18"/>
        <v>100.0095</v>
      </c>
      <c r="V133" s="12"/>
      <c r="W133" s="25">
        <f t="shared" si="11"/>
        <v>100.0095</v>
      </c>
      <c r="X133" s="14" t="str">
        <f t="shared" si="12"/>
        <v>DE110463=</v>
      </c>
      <c r="Y133" s="14"/>
      <c r="Z133" s="14"/>
      <c r="AA133" s="14"/>
      <c r="AB133" s="14"/>
      <c r="AC133" s="14"/>
      <c r="AD133" s="896" t="str">
        <f>IF(ISNUMBER($D133),_xll.xlBondYield($F133,$H133,$G133,$J133,$K133,$L133,$M133,$D133,$W133,IF(NOT($H133),TRUE,FALSE)),"")</f>
        <v>Bond not alive on calculation date</v>
      </c>
      <c r="AE133" s="12"/>
      <c r="AF133" s="12"/>
      <c r="AG133" s="12"/>
      <c r="AH133" s="14"/>
      <c r="AI133" s="14"/>
      <c r="AJ133" s="14"/>
      <c r="AK133" s="246" t="str">
        <f>IF(ISNUMBER($D133),_xll.xlBondAswSpread($F133&amp;T(TYPE($AV$1)),$H133,$G133,$J133,$K133,$L133,$M133,$D133,$W133,IF(NOT($H133),TRUE,FALSE),curveName,curveName,,,2),"")</f>
        <v>Bond not alive on calculation date</v>
      </c>
      <c r="AL133" s="213" t="e">
        <f>IF($W133&gt;0,_xll.xlBondZSpread(F133&amp;T(TYPE($AV$1)),H133,G133,J133,K133,L133,M133,D133,U133,"annual",5,IF(NOT($H133),TRUE,FALSE),curveName)*100,"")</f>
        <v>#VALUE!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4" t="str">
        <f>IF($AN$9+(($AL$9-$AM$9))*('DB Basis'!F293/10-'DB Basis'!E293),," ")</f>
        <v xml:space="preserve"> </v>
      </c>
      <c r="AO133" s="639" t="str">
        <f>IF(U133&gt;0,_xll.xlShmImplSwap2(curveName&amp;T(TYPE($AV$1)),curveName,D133,G133,,1,8,2,4),"")</f>
        <v>Maturity must be greater then calcDate.</v>
      </c>
      <c r="AP133" s="640" t="str">
        <f t="shared" si="13"/>
        <v>-</v>
      </c>
      <c r="AQ133" s="386" t="str">
        <f t="shared" si="14"/>
        <v>-</v>
      </c>
      <c r="AR133" s="386" t="str">
        <f t="shared" si="15"/>
        <v>-</v>
      </c>
      <c r="AS133" s="388"/>
      <c r="AT133" s="242" t="str">
        <f t="shared" si="16"/>
        <v>-</v>
      </c>
      <c r="AU133" s="686" t="str">
        <f t="shared" si="10"/>
        <v>BUND  16-Mar-18  0</v>
      </c>
      <c r="AV133" s="702"/>
      <c r="AW133" s="684"/>
      <c r="AX133" s="684"/>
      <c r="AY133" s="684"/>
      <c r="AZ133" s="684"/>
      <c r="BA133" s="684"/>
      <c r="BB133" s="683"/>
      <c r="BC133" s="696"/>
      <c r="BE133" s="706">
        <f>_xll.xlDateShiftMonth(BE132,1)</f>
        <v>46901</v>
      </c>
      <c r="BF133" s="707">
        <v>1.9327181501854307E-2</v>
      </c>
      <c r="BU133" s="133" t="s">
        <v>599</v>
      </c>
      <c r="BV133" s="133" t="s">
        <v>599</v>
      </c>
      <c r="BW133" s="133" t="s">
        <v>599</v>
      </c>
      <c r="BX133" s="133" t="s">
        <v>599</v>
      </c>
      <c r="BY133" s="133" t="s">
        <v>599</v>
      </c>
      <c r="BZ133" s="133" t="s">
        <v>599</v>
      </c>
      <c r="CA133" s="133" t="s">
        <v>599</v>
      </c>
      <c r="CB133" s="133" t="s">
        <v>599</v>
      </c>
      <c r="CC133" s="133" t="s">
        <v>599</v>
      </c>
      <c r="CD133" s="133" t="s">
        <v>599</v>
      </c>
      <c r="CE133" s="133" t="s">
        <v>599</v>
      </c>
      <c r="CF133" s="133" t="s">
        <v>599</v>
      </c>
    </row>
    <row r="134" spans="1:84">
      <c r="A134" s="17"/>
      <c r="B134" s="16"/>
      <c r="C134" s="18"/>
      <c r="D134" s="720">
        <f>MAX(_xll.xlDateSettle("TARGET",$D$4,2),L134)</f>
        <v>43179</v>
      </c>
      <c r="E134" s="718" t="s">
        <v>631</v>
      </c>
      <c r="F134" s="13" t="s">
        <v>1413</v>
      </c>
      <c r="G134" s="35">
        <v>43203</v>
      </c>
      <c r="H134" s="37">
        <v>0.25</v>
      </c>
      <c r="I134" s="11">
        <v>43203</v>
      </c>
      <c r="J134" s="11">
        <v>41377</v>
      </c>
      <c r="K134" s="11">
        <v>41742</v>
      </c>
      <c r="L134" s="11">
        <v>41404</v>
      </c>
      <c r="M134" s="12">
        <v>99.38</v>
      </c>
      <c r="N134" s="12" t="s">
        <v>599</v>
      </c>
      <c r="O134" s="12" t="s">
        <v>1178</v>
      </c>
      <c r="P134" s="12" t="s">
        <v>1416</v>
      </c>
      <c r="Q134" s="15">
        <v>17000000000</v>
      </c>
      <c r="R134" s="12"/>
      <c r="S134" s="43">
        <f>_xll.RtGet("IDN",$X134,$S$9)</f>
        <v>100.056</v>
      </c>
      <c r="T134" s="43">
        <f>_xll.RtGet("IDN",$X134,$T$9)</f>
        <v>100.101</v>
      </c>
      <c r="U134" s="25">
        <f t="shared" si="18"/>
        <v>100.07849999999999</v>
      </c>
      <c r="V134" s="12"/>
      <c r="W134" s="25">
        <f t="shared" si="11"/>
        <v>100.07849999999999</v>
      </c>
      <c r="X134" s="14" t="str">
        <f t="shared" si="12"/>
        <v>DE114166=</v>
      </c>
      <c r="Y134" s="14"/>
      <c r="Z134" s="14"/>
      <c r="AA134" s="14"/>
      <c r="AB134" s="14"/>
      <c r="AC134" s="14"/>
      <c r="AD134" s="34">
        <f>IF(ISNUMBER($D134),_xll.xlBondYield($F134,$H134,$G134,$J134,$K134,$L134,$M134,$D134,$W134,IF(NOT($H134),TRUE,FALSE)),"")</f>
        <v>-9.4091804951101678E-3</v>
      </c>
      <c r="AE134" s="12"/>
      <c r="AF134" s="12"/>
      <c r="AG134" s="12"/>
      <c r="AH134" s="14"/>
      <c r="AI134" s="14"/>
      <c r="AJ134" s="14"/>
      <c r="AK134" s="246">
        <f>IF(ISNUMBER($D134),_xll.xlBondAswSpread($F134&amp;T(TYPE($AV$1)),$H134,$G134,$J134,$K134,$L134,$M134,$D134,$W134,IF(NOT($H134),TRUE,FALSE),curveName,curveName,,,2),"")</f>
        <v>-0.55131324092096945</v>
      </c>
      <c r="AL134" s="213">
        <f>IF($W134&gt;0,_xll.xlBondZSpread(F134&amp;T(TYPE($AV$1)),H134,G134,J134,K134,L134,M134,D134,U134,"annual",5,IF(NOT($H134),TRUE,FALSE),curveName)*100,"")</f>
        <v>-55.534041824647659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4" t="str">
        <f>IF($AN$9+(($AL$9-$AM$9))*('DB Basis'!F294/10-'DB Basis'!E294),," ")</f>
        <v xml:space="preserve"> </v>
      </c>
      <c r="AO134" s="639">
        <f>IF(U134&gt;0,_xll.xlShmImplSwap2(curveName&amp;T(TYPE($AV$1)),curveName,D134,G134,,1,8,2,4),"")</f>
        <v>-3.9328678246336214E-3</v>
      </c>
      <c r="AP134" s="640">
        <f t="shared" si="13"/>
        <v>-5.4763126704765464E-3</v>
      </c>
      <c r="AQ134" s="386" t="str">
        <f t="shared" si="14"/>
        <v>-</v>
      </c>
      <c r="AR134" s="386" t="str">
        <f t="shared" si="15"/>
        <v>-</v>
      </c>
      <c r="AS134" s="388"/>
      <c r="AT134" s="242">
        <f t="shared" si="16"/>
        <v>-0.92802876116155086</v>
      </c>
      <c r="AU134" s="686" t="str">
        <f t="shared" si="10"/>
        <v>BUND  13-Apr-18  0.25</v>
      </c>
      <c r="AV134" s="702"/>
      <c r="AW134" s="684"/>
      <c r="AX134" s="684"/>
      <c r="AY134" s="684"/>
      <c r="AZ134" s="684"/>
      <c r="BA134" s="684"/>
      <c r="BB134" s="683"/>
      <c r="BC134" s="696"/>
      <c r="BE134" s="706">
        <f>_xll.xlDateShiftMonth(BE133,1)</f>
        <v>46932</v>
      </c>
      <c r="BF134" s="707">
        <v>1.9454588924453856E-2</v>
      </c>
      <c r="BU134" s="133" t="s">
        <v>599</v>
      </c>
      <c r="BV134" s="133" t="s">
        <v>599</v>
      </c>
      <c r="BW134" s="133" t="s">
        <v>599</v>
      </c>
      <c r="BX134" s="133" t="s">
        <v>599</v>
      </c>
      <c r="BY134" s="133" t="s">
        <v>599</v>
      </c>
      <c r="BZ134" s="133" t="s">
        <v>599</v>
      </c>
      <c r="CA134" s="133" t="s">
        <v>599</v>
      </c>
      <c r="CB134" s="133" t="s">
        <v>599</v>
      </c>
      <c r="CC134" s="133" t="s">
        <v>599</v>
      </c>
      <c r="CD134" s="133" t="s">
        <v>599</v>
      </c>
      <c r="CE134" s="133" t="s">
        <v>599</v>
      </c>
      <c r="CF134" s="133" t="s">
        <v>599</v>
      </c>
    </row>
    <row r="135" spans="1:84">
      <c r="A135" s="10"/>
      <c r="B135" s="11"/>
      <c r="C135" s="12"/>
      <c r="D135" s="720">
        <f>MAX(_xll.xlDateSettle("TARGET",$D$4,2),L135)</f>
        <v>43179</v>
      </c>
      <c r="E135" s="718" t="s">
        <v>851</v>
      </c>
      <c r="F135" s="13" t="s">
        <v>1413</v>
      </c>
      <c r="G135" s="35">
        <v>43266</v>
      </c>
      <c r="H135" s="37">
        <v>0</v>
      </c>
      <c r="I135" s="11">
        <v>43266</v>
      </c>
      <c r="J135" s="11">
        <v>42503</v>
      </c>
      <c r="K135" s="11">
        <v>42901</v>
      </c>
      <c r="L135" s="11">
        <v>42503</v>
      </c>
      <c r="M135" s="12">
        <v>101.08499999999999</v>
      </c>
      <c r="N135" s="12" t="s">
        <v>1417</v>
      </c>
      <c r="O135" s="12" t="s">
        <v>1178</v>
      </c>
      <c r="P135" s="12" t="s">
        <v>1418</v>
      </c>
      <c r="Q135" s="15">
        <v>14000000000</v>
      </c>
      <c r="R135" s="12"/>
      <c r="S135" s="43">
        <f>_xll.RtGet("IDN",$X135,$S$9)</f>
        <v>100.15300000000001</v>
      </c>
      <c r="T135" s="43">
        <f>_xll.RtGet("IDN",$X135,$T$9)</f>
        <v>100.18300000000001</v>
      </c>
      <c r="U135" s="25">
        <f t="shared" si="18"/>
        <v>100.16800000000001</v>
      </c>
      <c r="V135" s="12"/>
      <c r="W135" s="25">
        <f t="shared" si="11"/>
        <v>100.16800000000001</v>
      </c>
      <c r="X135" s="14" t="str">
        <f t="shared" si="12"/>
        <v>DE110464=</v>
      </c>
      <c r="Y135" s="14"/>
      <c r="Z135" s="14"/>
      <c r="AA135" s="14"/>
      <c r="AB135" s="14"/>
      <c r="AC135" s="14"/>
      <c r="AD135" s="34" t="str">
        <f>IF(ISNUMBER($D135),_xll.xlBondYield($F135,$H135,$G135,$J135,$K135,$L135,$M135,$D135,$W135,IF(NOT($H135),TRUE,FALSE)),"")</f>
        <v>Bond not alive on calculation date</v>
      </c>
      <c r="AE135" s="12"/>
      <c r="AF135" s="12"/>
      <c r="AG135" s="12"/>
      <c r="AH135" s="14"/>
      <c r="AI135" s="14"/>
      <c r="AJ135" s="14"/>
      <c r="AK135" s="246" t="str">
        <f>IF(ISNUMBER($D135),_xll.xlBondAswSpread($F135&amp;T(TYPE($AV$1)),$H135,$G135,$J135,$K135,$L135,$M135,$D135,$W135,IF(NOT($H135),TRUE,FALSE),curveName,curveName,,,2),"")</f>
        <v>Bond not alive on calculation date</v>
      </c>
      <c r="AL135" s="213" t="e">
        <f>IF($W135&gt;0,_xll.xlBondZSpread(F135&amp;T(TYPE($AV$1)),H135,G135,J135,K135,L135,M135,D135,U135,"annual",5,IF(NOT($H135),TRUE,FALSE),curveName)*100,"")</f>
        <v>#VALUE!</v>
      </c>
      <c r="AM135" s="266" t="e">
        <f>(-IF($AL$9="",VLOOKUP(VLOOKUP(E135,'DB Basis'!$D$2:$H$65205,4,0),Bonds!$AR$1:$AS$6,2,0),$AL$9)*VLOOKUP(E135,'DB Basis'!$D$2:$E$65205,2,0))+IF(V135="",W135,V135)</f>
        <v>#N/A</v>
      </c>
      <c r="AN135" s="274" t="str">
        <f>IF($AN$9+(($AL$9-$AM$9))*('DB Basis'!F295/10-'DB Basis'!E295),," ")</f>
        <v xml:space="preserve"> </v>
      </c>
      <c r="AO135" s="639">
        <f>IF(U135&gt;0,_xll.xlShmImplSwap2(curveName&amp;T(TYPE($AV$1)),curveName,D135,G135,,1,8,2,4),"")</f>
        <v>-3.3948690047014159E-3</v>
      </c>
      <c r="AP135" s="640" t="str">
        <f t="shared" si="13"/>
        <v>-</v>
      </c>
      <c r="AQ135" s="386" t="str">
        <f t="shared" si="14"/>
        <v>-</v>
      </c>
      <c r="AR135" s="386" t="str">
        <f t="shared" si="15"/>
        <v>-</v>
      </c>
      <c r="AS135" s="388"/>
      <c r="AT135" s="242" t="str">
        <f t="shared" si="16"/>
        <v>-</v>
      </c>
      <c r="AU135" s="686" t="str">
        <f t="shared" si="10"/>
        <v>BUND  15-Jun-18  0</v>
      </c>
      <c r="AV135" s="702"/>
      <c r="AW135" s="684"/>
      <c r="AX135" s="684"/>
      <c r="AY135" s="684"/>
      <c r="AZ135" s="684"/>
      <c r="BA135" s="684"/>
      <c r="BB135" s="683"/>
      <c r="BC135" s="696"/>
      <c r="BE135" s="706">
        <f>_xll.xlDateShiftMonth(BE134,1)</f>
        <v>46962</v>
      </c>
      <c r="BF135" s="707">
        <v>1.9578284864994955E-2</v>
      </c>
      <c r="BU135" s="133" t="s">
        <v>599</v>
      </c>
      <c r="BV135" s="133" t="s">
        <v>599</v>
      </c>
      <c r="BW135" s="133" t="s">
        <v>599</v>
      </c>
      <c r="BX135" s="133" t="s">
        <v>599</v>
      </c>
      <c r="BY135" s="133" t="s">
        <v>599</v>
      </c>
      <c r="BZ135" s="133" t="s">
        <v>599</v>
      </c>
      <c r="CA135" s="133" t="s">
        <v>599</v>
      </c>
      <c r="CB135" s="133" t="s">
        <v>599</v>
      </c>
      <c r="CC135" s="133" t="s">
        <v>599</v>
      </c>
      <c r="CD135" s="133" t="s">
        <v>599</v>
      </c>
      <c r="CE135" s="133" t="s">
        <v>599</v>
      </c>
      <c r="CF135" s="133" t="s">
        <v>599</v>
      </c>
    </row>
    <row r="136" spans="1:84">
      <c r="A136" s="17"/>
      <c r="B136" s="16"/>
      <c r="C136" s="18"/>
      <c r="D136" s="720">
        <f>MAX(_xll.xlDateSettle("TARGET",$D$4,2),L136)</f>
        <v>43179</v>
      </c>
      <c r="E136" s="718" t="s">
        <v>632</v>
      </c>
      <c r="F136" s="13" t="s">
        <v>1413</v>
      </c>
      <c r="G136" s="35">
        <v>43285</v>
      </c>
      <c r="H136" s="37">
        <v>4.25</v>
      </c>
      <c r="I136" s="11">
        <v>43285</v>
      </c>
      <c r="J136" s="11">
        <v>39598</v>
      </c>
      <c r="K136" s="11">
        <v>39998</v>
      </c>
      <c r="L136" s="11">
        <v>39598</v>
      </c>
      <c r="M136" s="12">
        <v>99.09</v>
      </c>
      <c r="N136" s="12" t="s">
        <v>1419</v>
      </c>
      <c r="O136" s="12" t="s">
        <v>1178</v>
      </c>
      <c r="P136" s="12" t="s">
        <v>1420</v>
      </c>
      <c r="Q136" s="15">
        <v>21000000000</v>
      </c>
      <c r="R136" s="12"/>
      <c r="S136" s="43">
        <f>_xll.RtGet("IDN",$X136,$S$9)</f>
        <v>101.44800000000001</v>
      </c>
      <c r="T136" s="43">
        <f>_xll.RtGet("IDN",$X136,$T$9)</f>
        <v>101.45400000000001</v>
      </c>
      <c r="U136" s="25">
        <f t="shared" si="18"/>
        <v>101.45100000000001</v>
      </c>
      <c r="V136" s="12"/>
      <c r="W136" s="25">
        <f t="shared" si="11"/>
        <v>101.45100000000001</v>
      </c>
      <c r="X136" s="14" t="str">
        <f t="shared" si="12"/>
        <v>DE113535=</v>
      </c>
      <c r="Y136" s="14"/>
      <c r="Z136" s="14"/>
      <c r="AA136" s="14"/>
      <c r="AB136" s="14"/>
      <c r="AC136" s="14"/>
      <c r="AD136" s="34">
        <f>IF(ISNUMBER($D136),_xll.xlBondYield($F136,$H136,$G136,$J136,$K136,$L136,$M136,$D136,$W136,IF(NOT($H136),TRUE,FALSE)),"")</f>
        <v>-7.1445526408612792E-3</v>
      </c>
      <c r="AE136" s="12"/>
      <c r="AF136" s="12"/>
      <c r="AG136" s="12"/>
      <c r="AH136" s="14"/>
      <c r="AI136" s="14"/>
      <c r="AJ136" s="14"/>
      <c r="AK136" s="246">
        <f>IF(ISNUMBER($D136),_xll.xlBondAswSpread($F136&amp;T(TYPE($AV$1)),$H136,$G136,$J136,$K136,$L136,$M136,$D136,$W136,IF(NOT($H136),TRUE,FALSE),curveName,curveName,,,2),"")</f>
        <v>-0.40068325851949693</v>
      </c>
      <c r="AL136" s="213">
        <f>IF($W136&gt;0,_xll.xlBondZSpread(F136&amp;T(TYPE($AV$1)),H136,G136,J136,K136,L136,M136,D136,U136,"annual",5,IF(NOT($H136),TRUE,FALSE),curveName)*100,"")</f>
        <v>-38.791136864106015</v>
      </c>
      <c r="AM136" s="266">
        <f>(-IF($AL$9="",VLOOKUP(VLOOKUP(E136,'DB Basis'!$D$2:$H$65205,4,0),Bonds!$AR$1:$AS$6,2,0),$AL$9)*VLOOKUP(E136,'DB Basis'!$D$2:$E$65205,2,0))+IF(V136="",W136,V136)</f>
        <v>83.214152500000012</v>
      </c>
      <c r="AN136" s="274" t="str">
        <f>IF($AN$9+(($AL$9-$AM$9))*('DB Basis'!F296/10-'DB Basis'!E296),," ")</f>
        <v xml:space="preserve"> </v>
      </c>
      <c r="AO136" s="639">
        <f>IF(U136&gt;0,_xll.xlShmImplSwap2(curveName&amp;T(TYPE($AV$1)),curveName,D136,G136,,1,8,2,4),"")</f>
        <v>-3.2682212693562022E-3</v>
      </c>
      <c r="AP136" s="640">
        <f t="shared" si="13"/>
        <v>-3.8763313715050769E-3</v>
      </c>
      <c r="AQ136" s="386" t="str">
        <f t="shared" si="14"/>
        <v>-</v>
      </c>
      <c r="AR136" s="386" t="str">
        <f t="shared" si="15"/>
        <v>-</v>
      </c>
      <c r="AS136" s="388"/>
      <c r="AT136" s="242">
        <f t="shared" si="16"/>
        <v>-0.70466820567398913</v>
      </c>
      <c r="AU136" s="686" t="str">
        <f t="shared" si="10"/>
        <v>BUND  04-Jul-18  4.25</v>
      </c>
      <c r="AV136" s="702"/>
      <c r="AW136" s="684"/>
      <c r="AX136" s="684"/>
      <c r="AY136" s="684"/>
      <c r="AZ136" s="684"/>
      <c r="BA136" s="684"/>
      <c r="BB136" s="683"/>
      <c r="BC136" s="696"/>
      <c r="BE136" s="706">
        <f>_xll.xlDateShiftMonth(BE135,1)</f>
        <v>46993</v>
      </c>
      <c r="BF136" s="707">
        <v>1.9706169661758838E-2</v>
      </c>
      <c r="BU136" s="133" t="s">
        <v>599</v>
      </c>
      <c r="BV136" s="133" t="s">
        <v>599</v>
      </c>
      <c r="BW136" s="133" t="s">
        <v>599</v>
      </c>
      <c r="BX136" s="133" t="s">
        <v>599</v>
      </c>
      <c r="BY136" s="133" t="s">
        <v>599</v>
      </c>
      <c r="BZ136" s="133" t="s">
        <v>599</v>
      </c>
      <c r="CA136" s="133" t="s">
        <v>599</v>
      </c>
      <c r="CB136" s="133" t="s">
        <v>599</v>
      </c>
      <c r="CC136" s="133" t="s">
        <v>599</v>
      </c>
      <c r="CD136" s="133" t="s">
        <v>599</v>
      </c>
      <c r="CE136" s="133" t="s">
        <v>599</v>
      </c>
      <c r="CF136" s="133" t="s">
        <v>599</v>
      </c>
    </row>
    <row r="137" spans="1:84">
      <c r="A137" s="10"/>
      <c r="B137" s="11"/>
      <c r="C137" s="12"/>
      <c r="D137" s="720">
        <f>MAX(_xll.xlDateSettle("TARGET",$D$4,2),L137)</f>
        <v>43179</v>
      </c>
      <c r="E137" s="718" t="s">
        <v>878</v>
      </c>
      <c r="F137" s="13" t="s">
        <v>1413</v>
      </c>
      <c r="G137" s="35">
        <v>43357</v>
      </c>
      <c r="H137" s="37">
        <v>0</v>
      </c>
      <c r="I137" s="11">
        <v>43357</v>
      </c>
      <c r="J137" s="11">
        <v>42587</v>
      </c>
      <c r="K137" s="11">
        <v>42992</v>
      </c>
      <c r="L137" s="11">
        <v>42587</v>
      </c>
      <c r="M137" s="12">
        <v>101.27800000000001</v>
      </c>
      <c r="N137" s="12" t="s">
        <v>1421</v>
      </c>
      <c r="O137" s="12" t="s">
        <v>1178</v>
      </c>
      <c r="P137" s="12" t="s">
        <v>1422</v>
      </c>
      <c r="Q137" s="15">
        <v>13000000000</v>
      </c>
      <c r="R137" s="12"/>
      <c r="S137" s="43">
        <f>_xll.RtGet("IDN",$X137,$S$9)</f>
        <v>100.31100000000001</v>
      </c>
      <c r="T137" s="43">
        <f>_xll.RtGet("IDN",$X137,$T$9)</f>
        <v>100.361</v>
      </c>
      <c r="U137" s="25">
        <f t="shared" si="18"/>
        <v>100.33600000000001</v>
      </c>
      <c r="V137" s="12"/>
      <c r="W137" s="25">
        <f t="shared" si="11"/>
        <v>100.33600000000001</v>
      </c>
      <c r="X137" s="14" t="str">
        <f t="shared" si="12"/>
        <v>DE110465=</v>
      </c>
      <c r="Y137" s="14"/>
      <c r="Z137" s="14"/>
      <c r="AA137" s="14"/>
      <c r="AB137" s="14"/>
      <c r="AC137" s="14"/>
      <c r="AD137" s="34" t="str">
        <f>IF(ISNUMBER($D137),_xll.xlBondYield($F137,$H137,$G137,$J137,$K137,$L137,$M137,$D137,$W137,IF(NOT($H137),TRUE,FALSE)),"")</f>
        <v>Bond not alive on calculation date</v>
      </c>
      <c r="AE137" s="12"/>
      <c r="AF137" s="12"/>
      <c r="AG137" s="12"/>
      <c r="AH137" s="14"/>
      <c r="AI137" s="14"/>
      <c r="AJ137" s="14"/>
      <c r="AK137" s="246" t="str">
        <f>IF(ISNUMBER($D137),_xll.xlBondAswSpread($F137&amp;T(TYPE($AV$1)),$H137,$G137,$J137,$K137,$L137,$M137,$D137,$W137,IF(NOT($H137),TRUE,FALSE),curveName,curveName,,,2),"")</f>
        <v>Bond not alive on calculation date</v>
      </c>
      <c r="AL137" s="213" t="e">
        <f>IF($W137&gt;0,_xll.xlBondZSpread(F137&amp;T(TYPE($AV$1)),H137,G137,J137,K137,L137,M137,D137,U137,"annual",5,IF(NOT($H137),TRUE,FALSE),curveName)*100,"")</f>
        <v>#VALUE!</v>
      </c>
      <c r="AM137" s="266">
        <f>(-IF($AL$9="",VLOOKUP(VLOOKUP(E137,'DB Basis'!$D$2:$H$65205,4,0),Bonds!$AR$1:$AS$6,2,0),$AL$9)*VLOOKUP(E137,'DB Basis'!$D$2:$E$65205,2,0))+IF(V137="",W137,V137)</f>
        <v>73.148552500000022</v>
      </c>
      <c r="AN137" s="274" t="str">
        <f>IF($AN$9+(($AL$9-$AM$9))*('DB Basis'!F297/10-'DB Basis'!E297),," ")</f>
        <v xml:space="preserve"> </v>
      </c>
      <c r="AO137" s="639">
        <f>IF(U137&gt;0,_xll.xlShmImplSwap2(curveName&amp;T(TYPE($AV$1)),curveName,D137,G137,,1,8,2,4),"")</f>
        <v>-2.8016490699922514E-3</v>
      </c>
      <c r="AP137" s="640" t="str">
        <f t="shared" si="13"/>
        <v>-</v>
      </c>
      <c r="AQ137" s="386" t="str">
        <f t="shared" si="14"/>
        <v>-</v>
      </c>
      <c r="AR137" s="386" t="str">
        <f t="shared" si="15"/>
        <v>-</v>
      </c>
      <c r="AS137" s="388"/>
      <c r="AT137" s="242" t="str">
        <f t="shared" si="16"/>
        <v>-</v>
      </c>
      <c r="AU137" s="686" t="str">
        <f t="shared" si="10"/>
        <v>BUND  14-Sep-18  0</v>
      </c>
      <c r="AV137" s="702"/>
      <c r="AW137" s="684"/>
      <c r="AX137" s="684"/>
      <c r="AY137" s="684"/>
      <c r="AZ137" s="684"/>
      <c r="BA137" s="684"/>
      <c r="BB137" s="683"/>
      <c r="BC137" s="696"/>
      <c r="BE137" s="706">
        <f>_xll.xlDateShiftMonth(BE136,1)</f>
        <v>47024</v>
      </c>
      <c r="BF137" s="707">
        <v>1.9833769462258698E-2</v>
      </c>
      <c r="BU137" s="133" t="s">
        <v>599</v>
      </c>
      <c r="BV137" s="133" t="s">
        <v>599</v>
      </c>
      <c r="BW137" s="133" t="s">
        <v>599</v>
      </c>
      <c r="BX137" s="133" t="s">
        <v>599</v>
      </c>
      <c r="BY137" s="133" t="s">
        <v>599</v>
      </c>
      <c r="BZ137" s="133" t="s">
        <v>599</v>
      </c>
      <c r="CA137" s="133" t="s">
        <v>599</v>
      </c>
      <c r="CB137" s="133" t="s">
        <v>599</v>
      </c>
      <c r="CC137" s="133" t="s">
        <v>599</v>
      </c>
      <c r="CD137" s="133" t="s">
        <v>599</v>
      </c>
      <c r="CE137" s="133" t="s">
        <v>599</v>
      </c>
      <c r="CF137" s="133" t="s">
        <v>599</v>
      </c>
    </row>
    <row r="138" spans="1:84">
      <c r="A138" s="17"/>
      <c r="B138" s="16"/>
      <c r="C138" s="18"/>
      <c r="D138" s="720">
        <f>MAX(_xll.xlDateSettle("TARGET",$D$4,2),L138)</f>
        <v>43179</v>
      </c>
      <c r="E138" s="718" t="s">
        <v>633</v>
      </c>
      <c r="F138" s="13" t="s">
        <v>1413</v>
      </c>
      <c r="G138" s="35">
        <v>43385</v>
      </c>
      <c r="H138" s="37">
        <v>1</v>
      </c>
      <c r="I138" s="11">
        <v>43385</v>
      </c>
      <c r="J138" s="11">
        <v>41523</v>
      </c>
      <c r="K138" s="11">
        <v>41924</v>
      </c>
      <c r="L138" s="11">
        <v>41523</v>
      </c>
      <c r="M138" s="12">
        <v>99.98</v>
      </c>
      <c r="N138" s="12" t="s">
        <v>599</v>
      </c>
      <c r="O138" s="12" t="s">
        <v>1178</v>
      </c>
      <c r="P138" s="12" t="s">
        <v>1423</v>
      </c>
      <c r="Q138" s="15">
        <v>17000000000</v>
      </c>
      <c r="R138" s="12"/>
      <c r="S138" s="43">
        <f>_xll.RtGet("IDN",$X138,$S$9)</f>
        <v>100.95100000000001</v>
      </c>
      <c r="T138" s="43">
        <f>_xll.RtGet("IDN",$X138,$T$9)</f>
        <v>100.996</v>
      </c>
      <c r="U138" s="25">
        <f t="shared" si="18"/>
        <v>100.9735</v>
      </c>
      <c r="V138" s="12"/>
      <c r="W138" s="25">
        <f t="shared" si="11"/>
        <v>100.9735</v>
      </c>
      <c r="X138" s="14" t="str">
        <f t="shared" si="12"/>
        <v>DE114167=</v>
      </c>
      <c r="Y138" s="14"/>
      <c r="Z138" s="14"/>
      <c r="AA138" s="14"/>
      <c r="AB138" s="14"/>
      <c r="AC138" s="14"/>
      <c r="AD138" s="34">
        <f>IF(ISNUMBER($D138),_xll.xlBondYield($F138,$H138,$G138,$J138,$K138,$L138,$M138,$D138,$W138,IF(NOT($H138),TRUE,FALSE)),"")</f>
        <v>-7.1481831649349882E-3</v>
      </c>
      <c r="AE138" s="12"/>
      <c r="AF138" s="12"/>
      <c r="AG138" s="12"/>
      <c r="AH138" s="14"/>
      <c r="AI138" s="14"/>
      <c r="AJ138" s="14"/>
      <c r="AK138" s="246">
        <f>IF(ISNUMBER($D138),_xll.xlBondAswSpread($F138&amp;T(TYPE($AV$1)),$H138,$G138,$J138,$K138,$L138,$M138,$D138,$W138,IF(NOT($H138),TRUE,FALSE),curveName,curveName,,,2),"")</f>
        <v>-0.45500867049358235</v>
      </c>
      <c r="AL138" s="213">
        <f>IF($W138&gt;0,_xll.xlBondZSpread(F138&amp;T(TYPE($AV$1)),H138,G138,J138,K138,L138,M138,D138,U138,"annual",5,IF(NOT($H138),TRUE,FALSE),curveName)*100,"")</f>
        <v>-45.404446684624794</v>
      </c>
      <c r="AM138" s="266">
        <f>(-IF($AL$9="",VLOOKUP(VLOOKUP(E138,'DB Basis'!$D$2:$H$65205,4,0),Bonds!$AR$1:$AS$6,2,0),$AL$9)*VLOOKUP(E138,'DB Basis'!$D$2:$E$65205,2,0))+IF(V138="",W138,V138)</f>
        <v>69.758282500000007</v>
      </c>
      <c r="AN138" s="274" t="str">
        <f>IF($AN$9+(($AL$9-$AM$9))*('DB Basis'!F298/10-'DB Basis'!E298),," ")</f>
        <v xml:space="preserve"> </v>
      </c>
      <c r="AO138" s="639">
        <f>IF(U138&gt;0,_xll.xlShmImplSwap2(curveName&amp;T(TYPE($AV$1)),curveName,D138,G138,,1,8,2,4),"")</f>
        <v>-2.613226882035431E-3</v>
      </c>
      <c r="AP138" s="640">
        <f t="shared" si="13"/>
        <v>-4.5349562828995577E-3</v>
      </c>
      <c r="AQ138" s="386" t="str">
        <f t="shared" si="14"/>
        <v>-</v>
      </c>
      <c r="AR138" s="386" t="str">
        <f t="shared" si="15"/>
        <v>-</v>
      </c>
      <c r="AS138" s="388"/>
      <c r="AT138" s="242">
        <f t="shared" si="16"/>
        <v>-0.70502628476071116</v>
      </c>
      <c r="AU138" s="686" t="str">
        <f t="shared" si="10"/>
        <v>BUND  12-Oct-18  1</v>
      </c>
      <c r="AV138" s="702"/>
      <c r="AW138" s="684"/>
      <c r="AX138" s="684"/>
      <c r="AY138" s="684"/>
      <c r="AZ138" s="684"/>
      <c r="BA138" s="684"/>
      <c r="BB138" s="683"/>
      <c r="BC138" s="696"/>
      <c r="BE138" s="706">
        <f>_xll.xlDateShiftMonth(BE137,1)</f>
        <v>47054</v>
      </c>
      <c r="BF138" s="707">
        <v>1.9956646891157025E-2</v>
      </c>
      <c r="BU138" s="133" t="s">
        <v>599</v>
      </c>
      <c r="BV138" s="133" t="s">
        <v>599</v>
      </c>
      <c r="BW138" s="133" t="s">
        <v>599</v>
      </c>
      <c r="BX138" s="133" t="s">
        <v>599</v>
      </c>
      <c r="BY138" s="133" t="s">
        <v>599</v>
      </c>
      <c r="BZ138" s="133" t="s">
        <v>599</v>
      </c>
      <c r="CA138" s="133" t="s">
        <v>599</v>
      </c>
      <c r="CB138" s="133" t="s">
        <v>599</v>
      </c>
      <c r="CC138" s="133" t="s">
        <v>599</v>
      </c>
      <c r="CD138" s="133" t="s">
        <v>599</v>
      </c>
      <c r="CE138" s="133" t="s">
        <v>599</v>
      </c>
      <c r="CF138" s="133" t="s">
        <v>599</v>
      </c>
    </row>
    <row r="139" spans="1:84">
      <c r="A139" s="10"/>
      <c r="B139" s="11"/>
      <c r="C139" s="12"/>
      <c r="D139" s="720">
        <f>MAX(_xll.xlDateSettle("TARGET",$D$4,2),L139)</f>
        <v>43179</v>
      </c>
      <c r="E139" s="718" t="s">
        <v>887</v>
      </c>
      <c r="F139" s="13" t="s">
        <v>1413</v>
      </c>
      <c r="G139" s="35">
        <v>43448</v>
      </c>
      <c r="H139" s="37">
        <v>0</v>
      </c>
      <c r="I139" s="11">
        <v>43448</v>
      </c>
      <c r="J139" s="11">
        <v>42685</v>
      </c>
      <c r="K139" s="11">
        <v>43083</v>
      </c>
      <c r="L139" s="11">
        <v>42685</v>
      </c>
      <c r="M139" s="12">
        <v>101.348</v>
      </c>
      <c r="N139" s="12" t="s">
        <v>599</v>
      </c>
      <c r="O139" s="12" t="s">
        <v>1178</v>
      </c>
      <c r="P139" s="12" t="s">
        <v>1424</v>
      </c>
      <c r="Q139" s="15">
        <v>13000000000</v>
      </c>
      <c r="R139" s="12"/>
      <c r="S139" s="43">
        <f>_xll.RtGet("IDN",$X139,$S$9)</f>
        <v>100.492</v>
      </c>
      <c r="T139" s="43">
        <f>_xll.RtGet("IDN",$X139,$T$9)</f>
        <v>100.542</v>
      </c>
      <c r="U139" s="25">
        <f t="shared" si="18"/>
        <v>100.517</v>
      </c>
      <c r="V139" s="12"/>
      <c r="W139" s="25">
        <f t="shared" si="11"/>
        <v>100.517</v>
      </c>
      <c r="X139" s="14" t="str">
        <f t="shared" si="12"/>
        <v>DE110466=</v>
      </c>
      <c r="Y139" s="14"/>
      <c r="Z139" s="14"/>
      <c r="AA139" s="14"/>
      <c r="AB139" s="14"/>
      <c r="AC139" s="14"/>
      <c r="AD139" s="34" t="str">
        <f>IF(ISNUMBER($D139),_xll.xlBondYield($F139,$H139,$G139,$J139,$K139,$L139,$M139,$D139,$W139,IF(NOT($H139),TRUE,FALSE)),"")</f>
        <v>Bond not alive on calculation date</v>
      </c>
      <c r="AE139" s="12"/>
      <c r="AF139" s="12"/>
      <c r="AG139" s="12"/>
      <c r="AH139" s="14"/>
      <c r="AI139" s="14"/>
      <c r="AJ139" s="14"/>
      <c r="AK139" s="246" t="str">
        <f>IF(ISNUMBER($D139),_xll.xlBondAswSpread($F139&amp;T(TYPE($AV$1)),$H139,$G139,$J139,$K139,$L139,$M139,$D139,$W139,IF(NOT($H139),TRUE,FALSE),curveName,curveName,,,2),"")</f>
        <v>Bond not alive on calculation date</v>
      </c>
      <c r="AL139" s="213" t="e">
        <f>IF($W139&gt;0,_xll.xlBondZSpread(F139&amp;T(TYPE($AV$1)),H139,G139,J139,K139,L139,M139,D139,U139,"annual",5,IF(NOT($H139),TRUE,FALSE),curveName)*100,"")</f>
        <v>#VALUE!</v>
      </c>
      <c r="AM139" s="266">
        <f>(-IF($AL$9="",VLOOKUP(VLOOKUP(E139,'DB Basis'!$D$2:$H$65205,4,0),Bonds!$AR$1:$AS$6,2,0),$AL$9)*VLOOKUP(E139,'DB Basis'!$D$2:$E$65205,2,0))+IF(V139="",W139,V139)</f>
        <v>61.022477500000001</v>
      </c>
      <c r="AN139" s="274" t="str">
        <f>IF($AN$9+(($AL$9-$AM$9))*('DB Basis'!F299/10-'DB Basis'!E299),," ")</f>
        <v xml:space="preserve"> </v>
      </c>
      <c r="AO139" s="639">
        <f>IF(U139&gt;0,_xll.xlShmImplSwap2(curveName&amp;T(TYPE($AV$1)),curveName,D139,G139,,1,8,2,4),"")</f>
        <v>-2.2620609440924095E-3</v>
      </c>
      <c r="AP139" s="640" t="str">
        <f t="shared" si="13"/>
        <v>-</v>
      </c>
      <c r="AQ139" s="386" t="str">
        <f t="shared" si="14"/>
        <v>-</v>
      </c>
      <c r="AR139" s="386" t="str">
        <f t="shared" si="15"/>
        <v>-</v>
      </c>
      <c r="AS139" s="388"/>
      <c r="AT139" s="242" t="str">
        <f t="shared" si="16"/>
        <v>-</v>
      </c>
      <c r="AU139" s="686" t="str">
        <f t="shared" ref="AU139:AU202" si="19">F139&amp;"  "&amp;TEXT(G139,"dd-mmm-yy")&amp;"  "&amp;H139</f>
        <v>BUND  14-Dec-18  0</v>
      </c>
      <c r="AV139" s="702"/>
      <c r="AW139" s="684"/>
      <c r="AX139" s="684"/>
      <c r="AY139" s="684"/>
      <c r="AZ139" s="684"/>
      <c r="BA139" s="684"/>
      <c r="BB139" s="683"/>
      <c r="BC139" s="696"/>
      <c r="BE139" s="706">
        <f>_xll.xlDateShiftMonth(BE138,1)</f>
        <v>47085</v>
      </c>
      <c r="BF139" s="707">
        <v>2.0082647719292204E-2</v>
      </c>
      <c r="BU139" s="133" t="s">
        <v>599</v>
      </c>
      <c r="BV139" s="133" t="s">
        <v>599</v>
      </c>
      <c r="BW139" s="133" t="s">
        <v>599</v>
      </c>
      <c r="BX139" s="133" t="s">
        <v>599</v>
      </c>
      <c r="BY139" s="133" t="s">
        <v>599</v>
      </c>
      <c r="BZ139" s="133" t="s">
        <v>599</v>
      </c>
      <c r="CA139" s="133" t="s">
        <v>599</v>
      </c>
      <c r="CB139" s="133" t="s">
        <v>599</v>
      </c>
      <c r="CC139" s="133" t="s">
        <v>599</v>
      </c>
      <c r="CD139" s="133" t="s">
        <v>599</v>
      </c>
      <c r="CE139" s="133" t="s">
        <v>599</v>
      </c>
      <c r="CF139" s="133" t="s">
        <v>599</v>
      </c>
    </row>
    <row r="140" spans="1:84">
      <c r="A140" s="17"/>
      <c r="B140" s="16"/>
      <c r="C140" s="18"/>
      <c r="D140" s="720">
        <f>MAX(_xll.xlDateSettle("TARGET",$D$4,2),L140)</f>
        <v>43179</v>
      </c>
      <c r="E140" s="718" t="s">
        <v>634</v>
      </c>
      <c r="F140" s="13" t="s">
        <v>1413</v>
      </c>
      <c r="G140" s="35">
        <v>43469</v>
      </c>
      <c r="H140" s="37">
        <v>3.75</v>
      </c>
      <c r="I140" s="11">
        <v>43469</v>
      </c>
      <c r="J140" s="11">
        <v>39766</v>
      </c>
      <c r="K140" s="11">
        <v>40182</v>
      </c>
      <c r="L140" s="11">
        <v>39766</v>
      </c>
      <c r="M140" s="12">
        <v>100.07</v>
      </c>
      <c r="N140" s="12" t="s">
        <v>1425</v>
      </c>
      <c r="O140" s="12" t="s">
        <v>1178</v>
      </c>
      <c r="P140" s="12" t="s">
        <v>1426</v>
      </c>
      <c r="Q140" s="15">
        <v>24000000000</v>
      </c>
      <c r="R140" s="12"/>
      <c r="S140" s="43">
        <f>_xll.RtGet("IDN",$X140,$S$9)</f>
        <v>103.554</v>
      </c>
      <c r="T140" s="43">
        <f>_xll.RtGet("IDN",$X140,$T$9)</f>
        <v>103.629</v>
      </c>
      <c r="U140" s="25">
        <f t="shared" si="18"/>
        <v>103.5915</v>
      </c>
      <c r="V140" s="12"/>
      <c r="W140" s="25">
        <f>IF(V140="",U140,V140)</f>
        <v>103.5915</v>
      </c>
      <c r="X140" s="14" t="str">
        <f t="shared" ref="X140:X203" si="20">LEFT($E140,2)&amp;IF(LEFT($E140,2)="FR",MID($E140,3,10),IF(LEFT($E140,2)="ES",MID($E140,4,8),IF(LEFT($E140,2)="PT",MID($E140,3,6)&amp;RIGHT($E140,3),IF(MID($E140,6,1)="0",MID($E140,7,5),MID($E140,6,6)))))&amp;"="&amp;IF(LEFT($E140,2)="IT","TT","")</f>
        <v>DE113537=</v>
      </c>
      <c r="Y140" s="14"/>
      <c r="Z140" s="14"/>
      <c r="AA140" s="14"/>
      <c r="AB140" s="14"/>
      <c r="AC140" s="14"/>
      <c r="AD140" s="34">
        <f>IF(ISNUMBER($D140),_xll.xlBondYield($F140,$H140,$G140,$J140,$K140,$L140,$M140,$D140,$W140,IF(NOT($H140),TRUE,FALSE)),"")</f>
        <v>-7.3813829206324996E-3</v>
      </c>
      <c r="AE140" s="12"/>
      <c r="AF140" s="12"/>
      <c r="AG140" s="12"/>
      <c r="AH140" s="14"/>
      <c r="AI140" s="14"/>
      <c r="AJ140" s="14"/>
      <c r="AK140" s="246">
        <f>IF(ISNUMBER($D140),_xll.xlBondAswSpread($F140&amp;T(TYPE($AV$1)),$H140,$G140,$J140,$K140,$L140,$M140,$D140,$W140,IF(NOT($H140),TRUE,FALSE),curveName,curveName,,,2),"")</f>
        <v>-0.52645031278473531</v>
      </c>
      <c r="AL140" s="213">
        <f>IF($W140&gt;0,_xll.xlBondZSpread(F140&amp;T(TYPE($AV$1)),H140,G140,J140,K140,L140,M140,D140,U140,"annual",5,IF(NOT($H140),TRUE,FALSE),curveName)*100,"")</f>
        <v>-51.098503847997577</v>
      </c>
      <c r="AM140" s="266">
        <f>(-IF($AL$9="",VLOOKUP(VLOOKUP(E140,'DB Basis'!$D$2:$H$65205,4,0),Bonds!$AR$1:$AS$6,2,0),$AL$9)*VLOOKUP(E140,'DB Basis'!$D$2:$E$65205,2,0))+IF(V140="",W140,V140)</f>
        <v>59.621677499999997</v>
      </c>
      <c r="AN140" s="274" t="str">
        <f>IF($AN$9+(($AL$9-$AM$9))*('DB Basis'!F300/10-'DB Basis'!E300),," ")</f>
        <v xml:space="preserve"> </v>
      </c>
      <c r="AO140" s="639">
        <f>IF(U140&gt;0,_xll.xlShmImplSwap2(curveName&amp;T(TYPE($AV$1)),curveName,D140,G140,,1,8,2,4),"")</f>
        <v>-2.282634014776993E-3</v>
      </c>
      <c r="AP140" s="640">
        <f t="shared" ref="AP140:AP203" si="21">IF(AND(ISNUMBER(AD140),ISNUMBER(AO140)),AD140-AO140,"-")</f>
        <v>-5.0987489058555071E-3</v>
      </c>
      <c r="AQ140" s="386" t="str">
        <f t="shared" ref="AQ140:AQ203" si="22">IF(ISNUMBER(((AD140-AD139)/(G140-G139)*365)*10000),((AD140-AD139)/(G140-G139)*365)*10000,"-")</f>
        <v>-</v>
      </c>
      <c r="AR140" s="386" t="str">
        <f t="shared" ref="AR140:AR203" si="23">IF(ISNUMBER(((AP140-AP139)/(G140-G139)*365)*10000),((AP140-AP139)/(G140-G139)*365)*10000,"-")</f>
        <v>-</v>
      </c>
      <c r="AS140" s="388"/>
      <c r="AT140" s="242">
        <f t="shared" ref="AT140:AT203" si="24">IF(ISNUMBER(AD140),AD140*360/365*100,"-")</f>
        <v>-0.72802680861032876</v>
      </c>
      <c r="AU140" s="686" t="str">
        <f t="shared" si="19"/>
        <v>BUND  04-Jan-19  3.75</v>
      </c>
      <c r="AV140" s="702"/>
      <c r="AW140" s="684"/>
      <c r="AX140" s="684"/>
      <c r="AY140" s="684"/>
      <c r="AZ140" s="684"/>
      <c r="BA140" s="684"/>
      <c r="BB140" s="683"/>
      <c r="BC140" s="696"/>
      <c r="BE140" s="706">
        <f>_xll.xlDateShiftMonth(BE139,1)</f>
        <v>47115</v>
      </c>
      <c r="BF140" s="707">
        <v>2.0203311606535351E-2</v>
      </c>
      <c r="BU140" s="133" t="s">
        <v>599</v>
      </c>
      <c r="BV140" s="133" t="s">
        <v>599</v>
      </c>
      <c r="BW140" s="133" t="s">
        <v>599</v>
      </c>
      <c r="BX140" s="133" t="s">
        <v>599</v>
      </c>
      <c r="BY140" s="133" t="s">
        <v>599</v>
      </c>
      <c r="BZ140" s="133" t="s">
        <v>599</v>
      </c>
      <c r="CA140" s="133" t="s">
        <v>599</v>
      </c>
      <c r="CB140" s="133" t="s">
        <v>599</v>
      </c>
      <c r="CC140" s="133" t="s">
        <v>599</v>
      </c>
      <c r="CD140" s="133" t="s">
        <v>599</v>
      </c>
      <c r="CE140" s="133" t="s">
        <v>599</v>
      </c>
      <c r="CF140" s="133" t="s">
        <v>599</v>
      </c>
    </row>
    <row r="141" spans="1:84">
      <c r="A141" s="10"/>
      <c r="B141" s="11"/>
      <c r="C141" s="12"/>
      <c r="D141" s="720">
        <f>MAX(_xll.xlDateSettle("TARGET",$D$4,2),L141)</f>
        <v>43179</v>
      </c>
      <c r="E141" s="718" t="s">
        <v>406</v>
      </c>
      <c r="F141" s="13" t="s">
        <v>1413</v>
      </c>
      <c r="G141" s="35">
        <v>43518</v>
      </c>
      <c r="H141" s="37">
        <v>1</v>
      </c>
      <c r="I141" s="11">
        <v>43518</v>
      </c>
      <c r="J141" s="11">
        <v>41656</v>
      </c>
      <c r="K141" s="11">
        <v>42057</v>
      </c>
      <c r="L141" s="11">
        <v>41656</v>
      </c>
      <c r="M141" s="12">
        <v>100.5</v>
      </c>
      <c r="N141" s="12" t="s">
        <v>599</v>
      </c>
      <c r="O141" s="12" t="s">
        <v>1178</v>
      </c>
      <c r="P141" s="12" t="s">
        <v>1427</v>
      </c>
      <c r="Q141" s="15">
        <v>16000000000</v>
      </c>
      <c r="R141" s="12"/>
      <c r="S141" s="43">
        <f>_xll.RtGet("IDN",$X141,$S$9)</f>
        <v>101.566</v>
      </c>
      <c r="T141" s="43">
        <f>_xll.RtGet("IDN",$X141,$T$9)</f>
        <v>101.626</v>
      </c>
      <c r="U141" s="25">
        <f t="shared" ref="U141:U204" si="25">IF($U$4="B",AVERAGE(S141:T141),AVERAGE(S141:T141))</f>
        <v>101.596</v>
      </c>
      <c r="V141" s="12"/>
      <c r="W141" s="25">
        <f>IF(V141="",U141,V141)</f>
        <v>101.596</v>
      </c>
      <c r="X141" s="14" t="str">
        <f t="shared" si="20"/>
        <v>DE114168=</v>
      </c>
      <c r="Y141" s="14"/>
      <c r="Z141" s="14"/>
      <c r="AA141" s="14"/>
      <c r="AB141" s="14"/>
      <c r="AC141" s="14"/>
      <c r="AD141" s="34">
        <f>IF(ISNUMBER($D141),_xll.xlBondYield($F141,$H141,$G141,$J141,$K141,$L141,$M141,$D141,$W141,IF(NOT($H141),TRUE,FALSE)),"")</f>
        <v>-7.0662598355305944E-3</v>
      </c>
      <c r="AE141" s="12"/>
      <c r="AF141" s="12"/>
      <c r="AG141" s="12"/>
      <c r="AH141" s="14"/>
      <c r="AI141" s="14"/>
      <c r="AJ141" s="14"/>
      <c r="AK141" s="246">
        <f>IF(ISNUMBER($D141),_xll.xlBondAswSpread($F141&amp;T(TYPE($AV$1)),$H141,$G141,$J141,$K141,$L141,$M141,$D141,$W141,IF(NOT($H141),TRUE,FALSE),curveName,curveName,,,2),"")</f>
        <v>-0.47155044470505653</v>
      </c>
      <c r="AL141" s="213">
        <f>IF($W141&gt;0,_xll.xlBondZSpread(F141&amp;T(TYPE($AV$1)),H141,G141,J141,K141,L141,M141,D141,U141,"annual",5,IF(NOT($H141),TRUE,FALSE),curveName)*100,"")</f>
        <v>-46.996812257843715</v>
      </c>
      <c r="AM141" s="266">
        <f>(-IF($AL$9="",VLOOKUP(VLOOKUP(E141,'DB Basis'!$D$2:$H$65205,4,0),Bonds!$AR$1:$AS$6,2,0),$AL$9)*VLOOKUP(E141,'DB Basis'!$D$2:$E$65205,2,0))+IF(V141="",W141,V141)</f>
        <v>52.032052500000006</v>
      </c>
      <c r="AN141" s="274" t="str">
        <f>IF($AN$9+(($AL$9-$AM$9))*('DB Basis'!F301/10-'DB Basis'!E301),," ")</f>
        <v xml:space="preserve"> </v>
      </c>
      <c r="AO141" s="639">
        <f>IF(U141&gt;0,_xll.xlShmImplSwap2(curveName&amp;T(TYPE($AV$1)),curveName,D141,G141,,1,8,2,4),"")</f>
        <v>-2.3878022191146761E-3</v>
      </c>
      <c r="AP141" s="640">
        <f t="shared" si="21"/>
        <v>-4.6784576164159188E-3</v>
      </c>
      <c r="AQ141" s="386">
        <f t="shared" si="22"/>
        <v>23.473454298407223</v>
      </c>
      <c r="AR141" s="386">
        <f t="shared" si="23"/>
        <v>31.307412376622398</v>
      </c>
      <c r="AS141" s="388"/>
      <c r="AT141" s="242">
        <f t="shared" si="24"/>
        <v>-0.69694617555918192</v>
      </c>
      <c r="AU141" s="686" t="str">
        <f t="shared" si="19"/>
        <v>BUND  22-Feb-19  1</v>
      </c>
      <c r="AV141" s="702"/>
      <c r="AW141" s="684"/>
      <c r="AX141" s="684"/>
      <c r="AY141" s="684"/>
      <c r="AZ141" s="684"/>
      <c r="BA141" s="684"/>
      <c r="BB141" s="683"/>
      <c r="BC141" s="696"/>
      <c r="BE141" s="706">
        <f>_xll.xlDateShiftMonth(BE140,1)</f>
        <v>47146</v>
      </c>
      <c r="BF141" s="707">
        <v>2.0326336754281173E-2</v>
      </c>
      <c r="BU141" s="133" t="s">
        <v>599</v>
      </c>
      <c r="BV141" s="133" t="s">
        <v>599</v>
      </c>
      <c r="BW141" s="133" t="s">
        <v>599</v>
      </c>
      <c r="BX141" s="133" t="s">
        <v>599</v>
      </c>
      <c r="BY141" s="133" t="s">
        <v>599</v>
      </c>
      <c r="BZ141" s="133" t="s">
        <v>599</v>
      </c>
      <c r="CA141" s="133" t="s">
        <v>599</v>
      </c>
      <c r="CB141" s="133" t="s">
        <v>599</v>
      </c>
      <c r="CC141" s="133" t="s">
        <v>599</v>
      </c>
      <c r="CD141" s="133" t="s">
        <v>599</v>
      </c>
      <c r="CE141" s="133" t="s">
        <v>599</v>
      </c>
      <c r="CF141" s="133" t="s">
        <v>599</v>
      </c>
    </row>
    <row r="142" spans="1:84">
      <c r="A142" s="17"/>
      <c r="B142" s="16"/>
      <c r="C142" s="18"/>
      <c r="D142" s="720">
        <f>MAX(_xll.xlDateSettle("TARGET",$D$4,2),L142)</f>
        <v>43179</v>
      </c>
      <c r="E142" s="718" t="s">
        <v>915</v>
      </c>
      <c r="F142" s="13" t="s">
        <v>1413</v>
      </c>
      <c r="G142" s="35">
        <v>43539</v>
      </c>
      <c r="H142" s="37">
        <v>0</v>
      </c>
      <c r="I142" s="11">
        <v>43539</v>
      </c>
      <c r="J142" s="11">
        <v>42796</v>
      </c>
      <c r="K142" s="11">
        <v>43174</v>
      </c>
      <c r="L142" s="11">
        <v>42796</v>
      </c>
      <c r="M142" s="12">
        <v>101.89100000000001</v>
      </c>
      <c r="N142" s="12" t="s">
        <v>1428</v>
      </c>
      <c r="O142" s="12" t="s">
        <v>1197</v>
      </c>
      <c r="P142" s="12" t="s">
        <v>1429</v>
      </c>
      <c r="Q142" s="15">
        <v>13000000000</v>
      </c>
      <c r="R142" s="12"/>
      <c r="S142" s="43">
        <f>_xll.RtGet("IDN",$X142,$S$9)</f>
        <v>100.675</v>
      </c>
      <c r="T142" s="43">
        <f>_xll.RtGet("IDN",$X142,$T$9)</f>
        <v>100.705</v>
      </c>
      <c r="U142" s="25">
        <f t="shared" si="25"/>
        <v>100.69</v>
      </c>
      <c r="V142" s="12"/>
      <c r="W142" s="25">
        <f>IF(V142="",U142,V142)</f>
        <v>100.69</v>
      </c>
      <c r="X142" s="14" t="str">
        <f t="shared" si="20"/>
        <v>DE110467=</v>
      </c>
      <c r="Y142" s="14"/>
      <c r="Z142" s="14"/>
      <c r="AA142" s="14"/>
      <c r="AB142" s="14"/>
      <c r="AC142" s="14"/>
      <c r="AD142" s="34" t="str">
        <f>IF(ISNUMBER($D142),_xll.xlBondYield($F142,$H142,$G142,$J142,$K142,$L142,$M142,$D142,$W142,IF(NOT($H142),TRUE,FALSE)),"")</f>
        <v>Bond not alive on calculation date</v>
      </c>
      <c r="AE142" s="12"/>
      <c r="AF142" s="12"/>
      <c r="AG142" s="12"/>
      <c r="AH142" s="14"/>
      <c r="AI142" s="14"/>
      <c r="AJ142" s="14"/>
      <c r="AK142" s="246" t="str">
        <f>IF(ISNUMBER($D142),_xll.xlBondAswSpread($F142&amp;T(TYPE($AV$1)),$H142,$G142,$J142,$K142,$L142,$M142,$D142,$W142,IF(NOT($H142),TRUE,FALSE),curveName,curveName,,,2),"")</f>
        <v>Bond not alive on calculation date</v>
      </c>
      <c r="AL142" s="213" t="e">
        <f>IF($W142&gt;0,_xll.xlBondZSpread(F142&amp;T(TYPE($AV$1)),H142,G142,J142,K142,L142,M142,D142,U142,"annual",5,IF(NOT($H142),TRUE,FALSE),curveName)*100,"")</f>
        <v>#VALUE!</v>
      </c>
      <c r="AM142" s="266">
        <f>(-IF($AL$9="",VLOOKUP(VLOOKUP(E142,'DB Basis'!$D$2:$H$65205,4,0),Bonds!$AR$1:$AS$6,2,0),$AL$9)*VLOOKUP(E142,'DB Basis'!$D$2:$E$65205,2,0))+IF(V142="",W142,V142)</f>
        <v>48.776519999999998</v>
      </c>
      <c r="AN142" s="274" t="str">
        <f>IF($AN$9+(($AL$9-$AM$9))*('DB Basis'!F302/10-'DB Basis'!E302),," ")</f>
        <v xml:space="preserve"> </v>
      </c>
      <c r="AO142" s="639">
        <f>IF(U142&gt;0,_xll.xlShmImplSwap2(curveName&amp;T(TYPE($AV$1)),curveName,D142,G142,,1,8,2,4),"")</f>
        <v>-2.4062976447422747E-3</v>
      </c>
      <c r="AP142" s="640" t="str">
        <f t="shared" si="21"/>
        <v>-</v>
      </c>
      <c r="AQ142" s="386" t="str">
        <f t="shared" si="22"/>
        <v>-</v>
      </c>
      <c r="AR142" s="386" t="str">
        <f t="shared" si="23"/>
        <v>-</v>
      </c>
      <c r="AS142" s="388"/>
      <c r="AT142" s="242" t="str">
        <f t="shared" si="24"/>
        <v>-</v>
      </c>
      <c r="AU142" s="686" t="str">
        <f t="shared" si="19"/>
        <v>BUND  15-Mar-19  0</v>
      </c>
      <c r="AV142" s="702"/>
      <c r="AW142" s="684"/>
      <c r="AX142" s="684"/>
      <c r="AY142" s="684"/>
      <c r="AZ142" s="684"/>
      <c r="BA142" s="684"/>
      <c r="BB142" s="683"/>
      <c r="BC142" s="696"/>
      <c r="BE142" s="706">
        <f>_xll.xlDateShiftMonth(BE141,1)</f>
        <v>47177</v>
      </c>
      <c r="BF142" s="707">
        <v>2.0447322074760278E-2</v>
      </c>
      <c r="BU142" s="133" t="s">
        <v>599</v>
      </c>
      <c r="BV142" s="133" t="s">
        <v>599</v>
      </c>
      <c r="BW142" s="133" t="s">
        <v>599</v>
      </c>
      <c r="BX142" s="133" t="s">
        <v>599</v>
      </c>
      <c r="BY142" s="133" t="s">
        <v>599</v>
      </c>
      <c r="BZ142" s="133" t="s">
        <v>599</v>
      </c>
      <c r="CA142" s="133" t="s">
        <v>599</v>
      </c>
      <c r="CB142" s="133" t="s">
        <v>599</v>
      </c>
      <c r="CC142" s="133" t="s">
        <v>599</v>
      </c>
      <c r="CD142" s="133" t="s">
        <v>599</v>
      </c>
      <c r="CE142" s="133" t="s">
        <v>599</v>
      </c>
      <c r="CF142" s="133" t="s">
        <v>599</v>
      </c>
    </row>
    <row r="143" spans="1:84">
      <c r="A143" s="10"/>
      <c r="B143" s="11"/>
      <c r="C143" s="12"/>
      <c r="D143" s="720">
        <f>MAX(_xll.xlDateSettle("TARGET",$D$4,2),L143)</f>
        <v>43179</v>
      </c>
      <c r="E143" s="718" t="s">
        <v>407</v>
      </c>
      <c r="F143" s="13" t="s">
        <v>1413</v>
      </c>
      <c r="G143" s="35">
        <v>43567</v>
      </c>
      <c r="H143" s="37">
        <v>0.5</v>
      </c>
      <c r="I143" s="11">
        <v>43567</v>
      </c>
      <c r="J143" s="11">
        <v>41741</v>
      </c>
      <c r="K143" s="11">
        <v>42106</v>
      </c>
      <c r="L143" s="11">
        <v>41768</v>
      </c>
      <c r="M143" s="12">
        <v>99.66</v>
      </c>
      <c r="N143" s="12" t="s">
        <v>1430</v>
      </c>
      <c r="O143" s="12" t="s">
        <v>1178</v>
      </c>
      <c r="P143" s="12" t="s">
        <v>1431</v>
      </c>
      <c r="Q143" s="15">
        <v>16000000000</v>
      </c>
      <c r="R143" s="12"/>
      <c r="S143" s="43">
        <f>_xll.RtGet("IDN",$X143,$S$9)</f>
        <v>101.238</v>
      </c>
      <c r="T143" s="43">
        <f>_xll.RtGet("IDN",$X143,$T$9)</f>
        <v>101.298</v>
      </c>
      <c r="U143" s="25">
        <f t="shared" si="25"/>
        <v>101.268</v>
      </c>
      <c r="V143" s="12"/>
      <c r="W143" s="25">
        <f>IF(V143="",U143,V143)</f>
        <v>101.268</v>
      </c>
      <c r="X143" s="14" t="str">
        <f t="shared" si="20"/>
        <v>DE114169=</v>
      </c>
      <c r="Y143" s="14"/>
      <c r="Z143" s="14"/>
      <c r="AA143" s="14"/>
      <c r="AB143" s="14"/>
      <c r="AC143" s="14"/>
      <c r="AD143" s="34">
        <f>IF(ISNUMBER($D143),_xll.xlBondYield($F143,$H143,$G143,$J143,$K143,$L143,$M143,$D143,$W143,IF(NOT($H143),TRUE,FALSE)),"")</f>
        <v>-6.8432107037094143E-3</v>
      </c>
      <c r="AE143" s="12"/>
      <c r="AF143" s="12"/>
      <c r="AG143" s="12"/>
      <c r="AH143" s="14"/>
      <c r="AI143" s="14"/>
      <c r="AJ143" s="14"/>
      <c r="AK143" s="246">
        <f>IF(ISNUMBER($D143),_xll.xlBondAswSpread($F143&amp;T(TYPE($AV$1)),$H143,$G143,$J143,$K143,$L143,$M143,$D143,$W143,IF(NOT($H143),TRUE,FALSE),curveName,curveName,,,2),"")</f>
        <v>-0.44178082665627993</v>
      </c>
      <c r="AL143" s="213">
        <f>IF($W143&gt;0,_xll.xlBondZSpread(F143&amp;T(TYPE($AV$1)),H143,G143,J143,K143,L143,M143,D143,U143,"annual",5,IF(NOT($H143),TRUE,FALSE),curveName)*100,"")</f>
        <v>-44.223504240744319</v>
      </c>
      <c r="AM143" s="266">
        <f>(-IF($AL$9="",VLOOKUP(VLOOKUP(E143,'DB Basis'!$D$2:$H$65205,4,0),Bonds!$AR$1:$AS$6,2,0),$AL$9)*VLOOKUP(E143,'DB Basis'!$D$2:$E$65205,2,0))+IF(V143="",W143,V143)</f>
        <v>45.326750000000004</v>
      </c>
      <c r="AN143" s="274" t="str">
        <f>IF($AN$9+(($AL$9-$AM$9))*('DB Basis'!F303/10-'DB Basis'!E303),," ")</f>
        <v xml:space="preserve"> </v>
      </c>
      <c r="AO143" s="639">
        <f>IF(U143&gt;0,_xll.xlShmImplSwap2(curveName&amp;T(TYPE($AV$1)),curveName,D143,G143,,1,8,2,4),"")</f>
        <v>-2.4249293022933242E-3</v>
      </c>
      <c r="AP143" s="640">
        <f t="shared" si="21"/>
        <v>-4.4182814014160901E-3</v>
      </c>
      <c r="AQ143" s="386" t="str">
        <f t="shared" si="22"/>
        <v>-</v>
      </c>
      <c r="AR143" s="386" t="str">
        <f t="shared" si="23"/>
        <v>-</v>
      </c>
      <c r="AS143" s="388"/>
      <c r="AT143" s="242">
        <f t="shared" si="24"/>
        <v>-0.67494680913298322</v>
      </c>
      <c r="AU143" s="686" t="str">
        <f t="shared" si="19"/>
        <v>BUND  12-Apr-19  0.5</v>
      </c>
      <c r="AV143" s="702"/>
      <c r="AW143" s="684"/>
      <c r="AX143" s="684"/>
      <c r="AY143" s="684"/>
      <c r="AZ143" s="684"/>
      <c r="BA143" s="684"/>
      <c r="BB143" s="683"/>
      <c r="BC143" s="696"/>
      <c r="BE143" s="706">
        <f>_xll.xlDateShiftMonth(BE142,1)</f>
        <v>47205</v>
      </c>
      <c r="BF143" s="707">
        <v>2.0554550115392974E-2</v>
      </c>
      <c r="BU143" s="133" t="s">
        <v>599</v>
      </c>
      <c r="BV143" s="133" t="s">
        <v>599</v>
      </c>
      <c r="BW143" s="133" t="s">
        <v>599</v>
      </c>
      <c r="BX143" s="133" t="s">
        <v>599</v>
      </c>
      <c r="BY143" s="133" t="s">
        <v>599</v>
      </c>
      <c r="BZ143" s="133" t="s">
        <v>599</v>
      </c>
      <c r="CA143" s="133" t="s">
        <v>599</v>
      </c>
      <c r="CB143" s="133" t="s">
        <v>599</v>
      </c>
      <c r="CC143" s="133" t="s">
        <v>599</v>
      </c>
      <c r="CD143" s="133" t="s">
        <v>599</v>
      </c>
      <c r="CE143" s="133" t="s">
        <v>599</v>
      </c>
      <c r="CF143" s="133" t="s">
        <v>599</v>
      </c>
    </row>
    <row r="144" spans="1:84">
      <c r="A144" s="10"/>
      <c r="B144" s="11"/>
      <c r="C144" s="12"/>
      <c r="D144" s="720">
        <f>MAX(_xll.xlDateSettle("TARGET",$D$4,2),L144)</f>
        <v>43179</v>
      </c>
      <c r="E144" s="718" t="s">
        <v>964</v>
      </c>
      <c r="F144" s="13" t="s">
        <v>1413</v>
      </c>
      <c r="G144" s="35">
        <v>43630</v>
      </c>
      <c r="H144" s="37">
        <v>0</v>
      </c>
      <c r="I144" s="11">
        <v>43630</v>
      </c>
      <c r="J144" s="11">
        <v>42880</v>
      </c>
      <c r="K144" s="11">
        <v>43265</v>
      </c>
      <c r="L144" s="11">
        <v>42880</v>
      </c>
      <c r="M144" s="12">
        <v>101.346</v>
      </c>
      <c r="N144" s="12" t="s">
        <v>1432</v>
      </c>
      <c r="O144" s="12" t="s">
        <v>1178</v>
      </c>
      <c r="P144" s="12" t="s">
        <v>1433</v>
      </c>
      <c r="Q144" s="15">
        <v>13000000000</v>
      </c>
      <c r="R144" s="12"/>
      <c r="S144" s="43">
        <f>_xll.RtGet("IDN",$X144,$S$9)</f>
        <v>100.834</v>
      </c>
      <c r="T144" s="43">
        <f>_xll.RtGet("IDN",$X144,$T$9)</f>
        <v>100.884</v>
      </c>
      <c r="U144" s="25">
        <f t="shared" si="25"/>
        <v>100.85900000000001</v>
      </c>
      <c r="V144" s="12"/>
      <c r="W144" s="25">
        <f t="shared" ref="W144:W207" si="26">IF(V144="",U144,V144)</f>
        <v>100.85900000000001</v>
      </c>
      <c r="X144" s="14" t="str">
        <f t="shared" si="20"/>
        <v>DE110468=</v>
      </c>
      <c r="Y144" s="14"/>
      <c r="Z144" s="14"/>
      <c r="AA144" s="14"/>
      <c r="AB144" s="14"/>
      <c r="AC144" s="14"/>
      <c r="AD144" s="34" t="str">
        <f>IF(ISNUMBER($D144),_xll.xlBondYield($F144,$H144,$G144,$J144,$K144,$L144,$M144,$D144,$W144,IF(NOT($H144),TRUE,FALSE)),"")</f>
        <v>Bond not alive on calculation date</v>
      </c>
      <c r="AE144" s="12"/>
      <c r="AF144" s="12"/>
      <c r="AG144" s="12"/>
      <c r="AH144" s="14"/>
      <c r="AI144" s="14"/>
      <c r="AJ144" s="14"/>
      <c r="AK144" s="246" t="str">
        <f>IF(ISNUMBER($D144),_xll.xlBondAswSpread($F144&amp;T(TYPE($AV$1)),$H144,$G144,$J144,$K144,$L144,$M144,$D144,$W144,IF(NOT($H144),TRUE,FALSE),curveName,curveName,,,2),"")</f>
        <v>Bond not alive on calculation date</v>
      </c>
      <c r="AL144" s="213" t="e">
        <f>IF($W144&gt;0,_xll.xlBondZSpread(F144&amp;T(TYPE($AV$1)),H144,G144,J144,K144,L144,M144,D144,U144,"annual",5,IF(NOT($H144),TRUE,FALSE),curveName)*100,"")</f>
        <v>#VALUE!</v>
      </c>
      <c r="AM144" s="266">
        <f>(-IF($AL$9="",VLOOKUP(VLOOKUP(E144,'DB Basis'!$D$2:$H$65205,4,0),Bonds!$AR$1:$AS$6,2,0),$AL$9)*VLOOKUP(E144,'DB Basis'!$D$2:$E$65205,2,0))+IF(V144="",W144,V144)</f>
        <v>36.638445000000019</v>
      </c>
      <c r="AN144" s="274" t="str">
        <f>IF($AN$9+(($AL$9-$AM$9))*('DB Basis'!F304/10-'DB Basis'!E304),," ")</f>
        <v xml:space="preserve"> </v>
      </c>
      <c r="AO144" s="639">
        <f>IF(U144&gt;0,_xll.xlShmImplSwap2(curveName&amp;T(TYPE($AV$1)),curveName,D144,G144,,1,8,2,4),"")</f>
        <v>-2.439598688474882E-3</v>
      </c>
      <c r="AP144" s="640" t="str">
        <f t="shared" si="21"/>
        <v>-</v>
      </c>
      <c r="AQ144" s="386" t="str">
        <f t="shared" si="22"/>
        <v>-</v>
      </c>
      <c r="AR144" s="386" t="str">
        <f t="shared" si="23"/>
        <v>-</v>
      </c>
      <c r="AS144" s="388"/>
      <c r="AT144" s="242" t="str">
        <f t="shared" si="24"/>
        <v>-</v>
      </c>
      <c r="AU144" s="686" t="str">
        <f t="shared" si="19"/>
        <v>BUND  14-Jun-19  0</v>
      </c>
      <c r="AV144" s="702"/>
      <c r="AW144" s="684"/>
      <c r="AX144" s="684"/>
      <c r="AY144" s="684"/>
      <c r="AZ144" s="684"/>
      <c r="BA144" s="684"/>
      <c r="BB144" s="683"/>
      <c r="BC144" s="696"/>
      <c r="BE144" s="706">
        <f>_xll.xlDateShiftMonth(BE143,1)</f>
        <v>47236</v>
      </c>
      <c r="BF144" s="707">
        <v>2.0670670878197864E-2</v>
      </c>
      <c r="BU144" s="133" t="s">
        <v>599</v>
      </c>
      <c r="BV144" s="133" t="s">
        <v>599</v>
      </c>
      <c r="BW144" s="133" t="s">
        <v>599</v>
      </c>
      <c r="BX144" s="133" t="s">
        <v>599</v>
      </c>
      <c r="BY144" s="133" t="s">
        <v>599</v>
      </c>
      <c r="BZ144" s="133" t="s">
        <v>599</v>
      </c>
      <c r="CA144" s="133" t="s">
        <v>599</v>
      </c>
      <c r="CB144" s="133" t="s">
        <v>599</v>
      </c>
      <c r="CC144" s="133" t="s">
        <v>599</v>
      </c>
      <c r="CD144" s="133" t="s">
        <v>599</v>
      </c>
      <c r="CE144" s="133" t="s">
        <v>599</v>
      </c>
      <c r="CF144" s="133" t="s">
        <v>599</v>
      </c>
    </row>
    <row r="145" spans="1:84">
      <c r="A145" s="10"/>
      <c r="B145" s="11"/>
      <c r="C145" s="12"/>
      <c r="D145" s="720">
        <f>MAX(_xll.xlDateSettle("TARGET",$D$4,2),L145)</f>
        <v>43179</v>
      </c>
      <c r="E145" s="718" t="s">
        <v>635</v>
      </c>
      <c r="F145" s="13" t="s">
        <v>1413</v>
      </c>
      <c r="G145" s="35">
        <v>43650</v>
      </c>
      <c r="H145" s="37">
        <v>3.5</v>
      </c>
      <c r="I145" s="11">
        <v>43650</v>
      </c>
      <c r="J145" s="11">
        <v>39955</v>
      </c>
      <c r="K145" s="11">
        <v>40363</v>
      </c>
      <c r="L145" s="11">
        <v>39955</v>
      </c>
      <c r="M145" s="12">
        <v>99.69</v>
      </c>
      <c r="N145" s="12" t="s">
        <v>1434</v>
      </c>
      <c r="O145" s="12" t="s">
        <v>1178</v>
      </c>
      <c r="P145" s="12" t="s">
        <v>1435</v>
      </c>
      <c r="Q145" s="15">
        <v>24000000000</v>
      </c>
      <c r="R145" s="12"/>
      <c r="S145" s="43">
        <f>_xll.RtGet("IDN",$X145,$S$9)</f>
        <v>105.432</v>
      </c>
      <c r="T145" s="43">
        <f>_xll.RtGet("IDN",$X145,$T$9)</f>
        <v>105.452</v>
      </c>
      <c r="U145" s="25">
        <f t="shared" si="25"/>
        <v>105.44200000000001</v>
      </c>
      <c r="V145" s="12"/>
      <c r="W145" s="25">
        <f t="shared" si="26"/>
        <v>105.44200000000001</v>
      </c>
      <c r="X145" s="14" t="str">
        <f t="shared" si="20"/>
        <v>DE113538=</v>
      </c>
      <c r="Y145" s="14"/>
      <c r="Z145" s="14"/>
      <c r="AA145" s="14"/>
      <c r="AB145" s="14"/>
      <c r="AC145" s="14"/>
      <c r="AD145" s="34">
        <f>IF(ISNUMBER($D145),_xll.xlBondYield($F145,$H145,$G145,$J145,$K145,$L145,$M145,$D145,$W145,IF(NOT($H145),TRUE,FALSE)),"")</f>
        <v>-6.8241609196331224E-3</v>
      </c>
      <c r="AE145" s="12"/>
      <c r="AF145" s="12"/>
      <c r="AG145" s="12"/>
      <c r="AH145" s="14"/>
      <c r="AI145" s="14"/>
      <c r="AJ145" s="14"/>
      <c r="AK145" s="246">
        <f>IF(ISNUMBER($D145),_xll.xlBondAswSpread($F145&amp;T(TYPE($AV$1)),$H145,$G145,$J145,$K145,$L145,$M145,$D145,$W145,IF(NOT($H145),TRUE,FALSE),curveName,curveName,,,2),"")</f>
        <v>-0.45662503917338693</v>
      </c>
      <c r="AL145" s="213">
        <f>IF($W145&gt;0,_xll.xlBondZSpread(F145&amp;T(TYPE($AV$1)),H145,G145,J145,K145,L145,M145,D145,U145,"annual",5,IF(NOT($H145),TRUE,FALSE),curveName)*100,"")</f>
        <v>-44.030476040882071</v>
      </c>
      <c r="AM145" s="266">
        <f>(-IF($AL$9="",VLOOKUP(VLOOKUP(E145,'DB Basis'!$D$2:$H$65205,4,0),Bonds!$AR$1:$AS$6,2,0),$AL$9)*VLOOKUP(E145,'DB Basis'!$D$2:$E$65205,2,0))+IF(V145="",W145,V145)</f>
        <v>35.515437500000019</v>
      </c>
      <c r="AN145" s="274" t="str">
        <f>IF($AN$9+(($AL$9-$AM$9))*('DB Basis'!F305/10-'DB Basis'!E305),," ")</f>
        <v xml:space="preserve"> </v>
      </c>
      <c r="AO145" s="639">
        <f>IF(U145&gt;0,_xll.xlShmImplSwap2(curveName&amp;T(TYPE($AV$1)),curveName,D145,G145,,1,8,2,4),"")</f>
        <v>-2.4180460370249236E-3</v>
      </c>
      <c r="AP145" s="640">
        <f t="shared" si="21"/>
        <v>-4.4061148826081992E-3</v>
      </c>
      <c r="AQ145" s="386" t="str">
        <f t="shared" si="22"/>
        <v>-</v>
      </c>
      <c r="AR145" s="386" t="str">
        <f t="shared" si="23"/>
        <v>-</v>
      </c>
      <c r="AS145" s="388"/>
      <c r="AT145" s="242">
        <f t="shared" si="24"/>
        <v>-0.67306792631997925</v>
      </c>
      <c r="AU145" s="686" t="str">
        <f t="shared" si="19"/>
        <v>BUND  04-Jul-19  3.5</v>
      </c>
      <c r="AV145" s="702"/>
      <c r="AW145" s="684"/>
      <c r="AX145" s="684"/>
      <c r="AY145" s="684"/>
      <c r="AZ145" s="684"/>
      <c r="BA145" s="684"/>
      <c r="BB145" s="683"/>
      <c r="BC145" s="696"/>
      <c r="BE145" s="706">
        <f>_xll.xlDateShiftMonth(BE144,1)</f>
        <v>47266</v>
      </c>
      <c r="BF145" s="707">
        <v>2.0780124419999279E-2</v>
      </c>
      <c r="BU145" s="133" t="s">
        <v>599</v>
      </c>
      <c r="BV145" s="133" t="s">
        <v>599</v>
      </c>
      <c r="BW145" s="133" t="s">
        <v>599</v>
      </c>
      <c r="BX145" s="133" t="s">
        <v>599</v>
      </c>
      <c r="BY145" s="133" t="s">
        <v>599</v>
      </c>
      <c r="BZ145" s="133" t="s">
        <v>599</v>
      </c>
      <c r="CA145" s="133" t="s">
        <v>599</v>
      </c>
      <c r="CB145" s="133" t="s">
        <v>599</v>
      </c>
      <c r="CC145" s="133" t="s">
        <v>599</v>
      </c>
      <c r="CD145" s="133" t="s">
        <v>599</v>
      </c>
      <c r="CE145" s="133" t="s">
        <v>599</v>
      </c>
      <c r="CF145" s="133" t="s">
        <v>599</v>
      </c>
    </row>
    <row r="146" spans="1:84">
      <c r="A146" s="10"/>
      <c r="B146" s="11"/>
      <c r="C146" s="12"/>
      <c r="D146" s="720">
        <f>MAX(_xll.xlDateSettle("TARGET",$D$4,2),L146)</f>
        <v>43179</v>
      </c>
      <c r="E146" s="718" t="s">
        <v>987</v>
      </c>
      <c r="F146" s="13" t="s">
        <v>1413</v>
      </c>
      <c r="G146" s="35">
        <v>43721</v>
      </c>
      <c r="H146" s="37">
        <v>0</v>
      </c>
      <c r="I146" s="11">
        <v>43721</v>
      </c>
      <c r="J146" s="11">
        <v>42978</v>
      </c>
      <c r="K146" s="11">
        <v>43356</v>
      </c>
      <c r="L146" s="11">
        <v>42978</v>
      </c>
      <c r="M146" s="12">
        <v>101.518</v>
      </c>
      <c r="N146" s="12" t="s">
        <v>599</v>
      </c>
      <c r="O146" s="12" t="s">
        <v>1178</v>
      </c>
      <c r="P146" s="12" t="s">
        <v>1436</v>
      </c>
      <c r="Q146" s="15">
        <v>13000000000</v>
      </c>
      <c r="R146" s="12"/>
      <c r="S146" s="43">
        <f>_xll.RtGet("IDN",$X146,$S$9)</f>
        <v>100.98</v>
      </c>
      <c r="T146" s="43">
        <f>_xll.RtGet("IDN",$X146,$T$9)</f>
        <v>101.01</v>
      </c>
      <c r="U146" s="25">
        <f t="shared" si="25"/>
        <v>100.995</v>
      </c>
      <c r="V146" s="12"/>
      <c r="W146" s="25">
        <f t="shared" si="26"/>
        <v>100.995</v>
      </c>
      <c r="X146" s="14" t="str">
        <f t="shared" si="20"/>
        <v>DE110469=</v>
      </c>
      <c r="Y146" s="14"/>
      <c r="Z146" s="14"/>
      <c r="AA146" s="14"/>
      <c r="AB146" s="14"/>
      <c r="AC146" s="14"/>
      <c r="AD146" s="34" t="str">
        <f>IF(ISNUMBER($D146),_xll.xlBondYield($F146,$H146,$G146,$J146,$K146,$L146,$M146,$D146,$W146,IF(NOT($H146),TRUE,FALSE)),"")</f>
        <v>Bond not alive on calculation date</v>
      </c>
      <c r="AE146" s="12"/>
      <c r="AF146" s="12"/>
      <c r="AG146" s="12"/>
      <c r="AH146" s="14"/>
      <c r="AI146" s="14"/>
      <c r="AJ146" s="14"/>
      <c r="AK146" s="246" t="str">
        <f>IF(ISNUMBER($D146),_xll.xlBondAswSpread($F146&amp;T(TYPE($AV$1)),$H146,$G146,$J146,$K146,$L146,$M146,$D146,$W146,IF(NOT($H146),TRUE,FALSE),curveName,curveName,,,2),"")</f>
        <v>Bond not alive on calculation date</v>
      </c>
      <c r="AL146" s="213" t="e">
        <f>IF($W146&gt;0,_xll.xlBondZSpread(F146&amp;T(TYPE($AV$1)),H146,G146,J146,K146,L146,M146,D146,U146,"annual",5,IF(NOT($H146),TRUE,FALSE),curveName)*100,"")</f>
        <v>#VALUE!</v>
      </c>
      <c r="AM146" s="266">
        <f>(-IF($AL$9="",VLOOKUP(VLOOKUP(E146,'DB Basis'!$D$2:$H$65205,4,0),Bonds!$AR$1:$AS$6,2,0),$AL$9)*VLOOKUP(E146,'DB Basis'!$D$2:$E$65205,2,0))+IF(V146="",W146,V146)</f>
        <v>24.467370000000003</v>
      </c>
      <c r="AN146" s="274" t="str">
        <f>IF($AN$9+(($AL$9-$AM$9))*('DB Basis'!F306/10-'DB Basis'!E306),," ")</f>
        <v xml:space="preserve"> </v>
      </c>
      <c r="AO146" s="639">
        <f>IF(U146&gt;0,_xll.xlShmImplSwap2(curveName&amp;T(TYPE($AV$1)),curveName,D146,G146,,1,8,2,4),"")</f>
        <v>-2.3140954876681285E-3</v>
      </c>
      <c r="AP146" s="640" t="str">
        <f t="shared" si="21"/>
        <v>-</v>
      </c>
      <c r="AQ146" s="386" t="str">
        <f t="shared" si="22"/>
        <v>-</v>
      </c>
      <c r="AR146" s="386" t="str">
        <f t="shared" si="23"/>
        <v>-</v>
      </c>
      <c r="AS146" s="388"/>
      <c r="AT146" s="242" t="str">
        <f t="shared" si="24"/>
        <v>-</v>
      </c>
      <c r="AU146" s="686" t="str">
        <f t="shared" si="19"/>
        <v>BUND  13-Sep-19  0</v>
      </c>
      <c r="AV146" s="702"/>
      <c r="AW146" s="684"/>
      <c r="AX146" s="684"/>
      <c r="AY146" s="684"/>
      <c r="AZ146" s="684"/>
      <c r="BA146" s="684"/>
      <c r="BB146" s="683"/>
      <c r="BC146" s="696"/>
      <c r="BE146" s="706">
        <f>_xll.xlDateShiftMonth(BE145,1)</f>
        <v>47297</v>
      </c>
      <c r="BF146" s="707">
        <v>2.0889861585829145E-2</v>
      </c>
      <c r="BU146" s="133" t="s">
        <v>599</v>
      </c>
      <c r="BV146" s="133" t="s">
        <v>599</v>
      </c>
      <c r="BW146" s="133" t="s">
        <v>599</v>
      </c>
      <c r="BX146" s="133" t="s">
        <v>599</v>
      </c>
      <c r="BY146" s="133" t="s">
        <v>599</v>
      </c>
      <c r="BZ146" s="133" t="s">
        <v>599</v>
      </c>
      <c r="CA146" s="133" t="s">
        <v>599</v>
      </c>
      <c r="CB146" s="133" t="s">
        <v>599</v>
      </c>
      <c r="CC146" s="133" t="s">
        <v>599</v>
      </c>
      <c r="CD146" s="133" t="s">
        <v>599</v>
      </c>
      <c r="CE146" s="133" t="s">
        <v>599</v>
      </c>
      <c r="CF146" s="133" t="s">
        <v>599</v>
      </c>
    </row>
    <row r="147" spans="1:84">
      <c r="A147" s="10"/>
      <c r="B147" s="11"/>
      <c r="C147" s="12"/>
      <c r="D147" s="720">
        <f>MAX(_xll.xlDateSettle("TARGET",$D$4,2),L147)</f>
        <v>43179</v>
      </c>
      <c r="E147" s="718" t="s">
        <v>408</v>
      </c>
      <c r="F147" s="13" t="s">
        <v>1413</v>
      </c>
      <c r="G147" s="35">
        <v>43749</v>
      </c>
      <c r="H147" s="37">
        <v>0.25</v>
      </c>
      <c r="I147" s="11">
        <v>43749</v>
      </c>
      <c r="J147" s="11">
        <v>41887</v>
      </c>
      <c r="K147" s="11">
        <v>42288</v>
      </c>
      <c r="L147" s="11">
        <v>41887</v>
      </c>
      <c r="M147" s="12">
        <v>100</v>
      </c>
      <c r="N147" s="12" t="s">
        <v>1437</v>
      </c>
      <c r="O147" s="12" t="s">
        <v>1178</v>
      </c>
      <c r="P147" s="12" t="s">
        <v>1438</v>
      </c>
      <c r="Q147" s="15">
        <v>16000000000</v>
      </c>
      <c r="R147" s="12"/>
      <c r="S147" s="43">
        <f>_xll.RtGet("IDN",$X147,$S$9)</f>
        <v>101.41200000000001</v>
      </c>
      <c r="T147" s="43">
        <f>_xll.RtGet("IDN",$X147,$T$9)</f>
        <v>101.432</v>
      </c>
      <c r="U147" s="25">
        <f t="shared" si="25"/>
        <v>101.422</v>
      </c>
      <c r="V147" s="12"/>
      <c r="W147" s="25">
        <f t="shared" si="26"/>
        <v>101.422</v>
      </c>
      <c r="X147" s="14" t="str">
        <f t="shared" si="20"/>
        <v>DE114170=</v>
      </c>
      <c r="Y147" s="14"/>
      <c r="Z147" s="14"/>
      <c r="AA147" s="14"/>
      <c r="AB147" s="14"/>
      <c r="AC147" s="14"/>
      <c r="AD147" s="34">
        <f>IF(ISNUMBER($D147),_xll.xlBondYield($F147,$H147,$G147,$J147,$K147,$L147,$M147,$D147,$W147,IF(NOT($H147),TRUE,FALSE)),"")</f>
        <v>-6.5284157852754585E-3</v>
      </c>
      <c r="AE147" s="12"/>
      <c r="AF147" s="12"/>
      <c r="AG147" s="12"/>
      <c r="AH147" s="14"/>
      <c r="AI147" s="14"/>
      <c r="AJ147" s="14"/>
      <c r="AK147" s="246">
        <f>IF(ISNUMBER($D147),_xll.xlBondAswSpread($F147&amp;T(TYPE($AV$1)),$H147,$G147,$J147,$K147,$L147,$M147,$D147,$W147,IF(NOT($H147),TRUE,FALSE),curveName,curveName,,,2),"")</f>
        <v>-0.42851116725316402</v>
      </c>
      <c r="AL147" s="213">
        <f>IF($W147&gt;0,_xll.xlBondZSpread(F147&amp;T(TYPE($AV$1)),H147,G147,J147,K147,L147,M147,D147,U147,"annual",5,IF(NOT($H147),TRUE,FALSE),curveName)*100,"")</f>
        <v>-42.923632528467003</v>
      </c>
      <c r="AM147" s="266">
        <f>(-IF($AL$9="",VLOOKUP(VLOOKUP(E147,'DB Basis'!$D$2:$H$65205,4,0),Bonds!$AR$1:$AS$6,2,0),$AL$9)*VLOOKUP(E147,'DB Basis'!$D$2:$E$65205,2,0))+IF(V147="",W147,V147)</f>
        <v>20.754717499999998</v>
      </c>
      <c r="AN147" s="274" t="str">
        <f>IF($AN$9+(($AL$9-$AM$9))*('DB Basis'!F307/10-'DB Basis'!E307),," ")</f>
        <v xml:space="preserve"> </v>
      </c>
      <c r="AO147" s="639">
        <f>IF(U147&gt;0,_xll.xlShmImplSwap2(curveName&amp;T(TYPE($AV$1)),curveName,D147,G147,,1,8,2,4),"")</f>
        <v>-2.2406972709521833E-3</v>
      </c>
      <c r="AP147" s="640">
        <f t="shared" si="21"/>
        <v>-4.2877185143232752E-3</v>
      </c>
      <c r="AQ147" s="386" t="str">
        <f t="shared" si="22"/>
        <v>-</v>
      </c>
      <c r="AR147" s="386" t="str">
        <f t="shared" si="23"/>
        <v>-</v>
      </c>
      <c r="AS147" s="388"/>
      <c r="AT147" s="242">
        <f t="shared" si="24"/>
        <v>-0.64389854320525064</v>
      </c>
      <c r="AU147" s="686" t="str">
        <f t="shared" si="19"/>
        <v>BUND  11-Oct-19  0.25</v>
      </c>
      <c r="AV147" s="702"/>
      <c r="AW147" s="684"/>
      <c r="AX147" s="684"/>
      <c r="AY147" s="684"/>
      <c r="AZ147" s="684"/>
      <c r="BA147" s="684"/>
      <c r="BB147" s="683"/>
      <c r="BC147" s="696"/>
      <c r="BE147" s="706">
        <f>_xll.xlDateShiftMonth(BE146,1)</f>
        <v>47327</v>
      </c>
      <c r="BF147" s="707">
        <v>2.0992471304094408E-2</v>
      </c>
      <c r="BU147" s="133" t="s">
        <v>599</v>
      </c>
      <c r="BV147" s="133" t="s">
        <v>599</v>
      </c>
      <c r="BW147" s="133" t="s">
        <v>599</v>
      </c>
      <c r="BX147" s="133" t="s">
        <v>599</v>
      </c>
      <c r="BY147" s="133" t="s">
        <v>599</v>
      </c>
      <c r="BZ147" s="133" t="s">
        <v>599</v>
      </c>
      <c r="CA147" s="133" t="s">
        <v>599</v>
      </c>
      <c r="CB147" s="133" t="s">
        <v>599</v>
      </c>
      <c r="CC147" s="133" t="s">
        <v>599</v>
      </c>
      <c r="CD147" s="133" t="s">
        <v>599</v>
      </c>
      <c r="CE147" s="133" t="s">
        <v>599</v>
      </c>
      <c r="CF147" s="133" t="s">
        <v>599</v>
      </c>
    </row>
    <row r="148" spans="1:84">
      <c r="A148" s="10"/>
      <c r="B148" s="11"/>
      <c r="C148" s="12"/>
      <c r="D148" s="720">
        <f>MAX(_xll.xlDateSettle("TARGET",$D$4,2),L148)</f>
        <v>43179</v>
      </c>
      <c r="E148" s="718" t="s">
        <v>1676</v>
      </c>
      <c r="F148" s="13" t="s">
        <v>1413</v>
      </c>
      <c r="G148" s="35">
        <v>43812</v>
      </c>
      <c r="H148" s="37">
        <v>0</v>
      </c>
      <c r="I148" s="11">
        <v>43812</v>
      </c>
      <c r="J148" s="11">
        <v>43055</v>
      </c>
      <c r="K148" s="11">
        <v>43447</v>
      </c>
      <c r="L148" s="11">
        <v>43055</v>
      </c>
      <c r="M148" s="12">
        <v>101.489</v>
      </c>
      <c r="N148" s="12" t="s">
        <v>1677</v>
      </c>
      <c r="O148" s="12" t="s">
        <v>1178</v>
      </c>
      <c r="P148" s="12" t="s">
        <v>1678</v>
      </c>
      <c r="Q148" s="15">
        <v>13000000000</v>
      </c>
      <c r="R148" s="12"/>
      <c r="S148" s="43">
        <f>_xll.RtGet("IDN",$X148,$S$9)</f>
        <v>101.126</v>
      </c>
      <c r="T148" s="43">
        <f>_xll.RtGet("IDN",$X148,$T$9)</f>
        <v>101.176</v>
      </c>
      <c r="U148" s="25">
        <f t="shared" si="25"/>
        <v>101.15100000000001</v>
      </c>
      <c r="V148" s="12"/>
      <c r="W148" s="25">
        <f t="shared" si="26"/>
        <v>101.15100000000001</v>
      </c>
      <c r="X148" s="14" t="str">
        <f t="shared" si="20"/>
        <v>DE110470=</v>
      </c>
      <c r="Y148" s="14"/>
      <c r="Z148" s="14"/>
      <c r="AA148" s="14"/>
      <c r="AB148" s="14"/>
      <c r="AC148" s="14"/>
      <c r="AD148" s="34" t="str">
        <f>IF(ISNUMBER($D148),_xll.xlBondYield($F148,$H148,$G148,$J148,$K148,$L148,$M148,$D148,$W148,IF(NOT($H148),TRUE,FALSE)),"")</f>
        <v>Bond not alive on calculation date</v>
      </c>
      <c r="AE148" s="12"/>
      <c r="AF148" s="12"/>
      <c r="AG148" s="12"/>
      <c r="AH148" s="14"/>
      <c r="AI148" s="14"/>
      <c r="AJ148" s="14"/>
      <c r="AK148" s="246" t="str">
        <f>IF(ISNUMBER($D148),_xll.xlBondAswSpread($F148&amp;T(TYPE($AV$1)),$H148,$G148,$J148,$K148,$L148,$M148,$D148,$W148,IF(NOT($H148),TRUE,FALSE),curveName,curveName,,,2),"")</f>
        <v>Bond not alive on calculation date</v>
      </c>
      <c r="AL148" s="213" t="e">
        <f>IF($W148&gt;0,_xll.xlBondZSpread(F148&amp;T(TYPE($AV$1)),H148,G148,J148,K148,L148,M148,D148,U148,"annual",5,IF(NOT($H148),TRUE,FALSE),curveName)*100,"")</f>
        <v>#VALUE!</v>
      </c>
      <c r="AM148" s="266">
        <f>(-IF($AL$9="",VLOOKUP(VLOOKUP(E148,'DB Basis'!$D$2:$H$65205,4,0),Bonds!$AR$1:$AS$6,2,0),$AL$9)*VLOOKUP(E148,'DB Basis'!$D$2:$E$65205,2,0))+IF(V148="",W148,V148)</f>
        <v>12.316295000000011</v>
      </c>
      <c r="AN148" s="274" t="str">
        <f>IF($AN$9+(($AL$9-$AM$9))*('DB Basis'!F308/10-'DB Basis'!E308),," ")</f>
        <v xml:space="preserve"> </v>
      </c>
      <c r="AO148" s="639">
        <f>IF(U148&gt;0,_xll.xlShmImplSwap2(curveName&amp;T(TYPE($AV$1)),curveName,D148,G148,,1,8,2,4),"")</f>
        <v>-2.062192973453681E-3</v>
      </c>
      <c r="AP148" s="640" t="str">
        <f t="shared" si="21"/>
        <v>-</v>
      </c>
      <c r="AQ148" s="386" t="str">
        <f t="shared" si="22"/>
        <v>-</v>
      </c>
      <c r="AR148" s="386" t="str">
        <f t="shared" si="23"/>
        <v>-</v>
      </c>
      <c r="AS148" s="388"/>
      <c r="AT148" s="242" t="str">
        <f t="shared" si="24"/>
        <v>-</v>
      </c>
      <c r="AU148" s="686" t="str">
        <f t="shared" si="19"/>
        <v>BUND  13-Dec-19  0</v>
      </c>
      <c r="AV148" s="702"/>
      <c r="AW148" s="684"/>
      <c r="AX148" s="684"/>
      <c r="AY148" s="684"/>
      <c r="AZ148" s="684"/>
      <c r="BA148" s="684"/>
      <c r="BB148" s="683"/>
      <c r="BC148" s="696"/>
      <c r="BE148" s="706">
        <f>_xll.xlDateShiftMonth(BE147,1)</f>
        <v>47358</v>
      </c>
      <c r="BF148" s="707">
        <v>2.1094448164924579E-2</v>
      </c>
      <c r="BU148" s="133" t="s">
        <v>599</v>
      </c>
      <c r="BV148" s="133" t="s">
        <v>599</v>
      </c>
      <c r="BW148" s="133" t="s">
        <v>599</v>
      </c>
      <c r="BX148" s="133" t="s">
        <v>599</v>
      </c>
      <c r="BY148" s="133" t="s">
        <v>599</v>
      </c>
      <c r="BZ148" s="133" t="s">
        <v>599</v>
      </c>
      <c r="CA148" s="133" t="s">
        <v>599</v>
      </c>
      <c r="CB148" s="133" t="s">
        <v>599</v>
      </c>
      <c r="CC148" s="133" t="s">
        <v>599</v>
      </c>
      <c r="CD148" s="133" t="s">
        <v>599</v>
      </c>
      <c r="CE148" s="133" t="s">
        <v>599</v>
      </c>
      <c r="CF148" s="133" t="s">
        <v>599</v>
      </c>
    </row>
    <row r="149" spans="1:84">
      <c r="A149" s="10"/>
      <c r="B149" s="11"/>
      <c r="C149" s="12"/>
      <c r="D149" s="720">
        <f>MAX(_xll.xlDateSettle("TARGET",$D$4,2),L149)</f>
        <v>43179</v>
      </c>
      <c r="E149" s="718" t="s">
        <v>636</v>
      </c>
      <c r="F149" s="13" t="s">
        <v>1413</v>
      </c>
      <c r="G149" s="35">
        <v>43834</v>
      </c>
      <c r="H149" s="37">
        <v>3.25</v>
      </c>
      <c r="I149" s="11">
        <v>43834</v>
      </c>
      <c r="J149" s="11">
        <v>40130</v>
      </c>
      <c r="K149" s="11">
        <v>40547</v>
      </c>
      <c r="L149" s="11">
        <v>40130</v>
      </c>
      <c r="M149" s="12">
        <v>98.95</v>
      </c>
      <c r="N149" s="12" t="s">
        <v>1439</v>
      </c>
      <c r="O149" s="12" t="s">
        <v>1178</v>
      </c>
      <c r="P149" s="12" t="s">
        <v>1440</v>
      </c>
      <c r="Q149" s="15">
        <v>22000000000</v>
      </c>
      <c r="R149" s="12"/>
      <c r="S149" s="43">
        <f>_xll.RtGet("IDN",$X149,$S$9)</f>
        <v>107.026</v>
      </c>
      <c r="T149" s="43">
        <f>_xll.RtGet("IDN",$X149,$T$9)</f>
        <v>107.066</v>
      </c>
      <c r="U149" s="25">
        <f t="shared" si="25"/>
        <v>107.04599999999999</v>
      </c>
      <c r="V149" s="12"/>
      <c r="W149" s="25">
        <f t="shared" si="26"/>
        <v>107.04599999999999</v>
      </c>
      <c r="X149" s="14" t="str">
        <f t="shared" si="20"/>
        <v>DE113539=</v>
      </c>
      <c r="Y149" s="14"/>
      <c r="Z149" s="14"/>
      <c r="AA149" s="14"/>
      <c r="AB149" s="14"/>
      <c r="AC149" s="14"/>
      <c r="AD149" s="34">
        <f>IF(ISNUMBER($D149),_xll.xlBondYield($F149,$H149,$G149,$J149,$K149,$L149,$M149,$D149,$W149,IF(NOT($H149),TRUE,FALSE)),"")</f>
        <v>-6.4035392782735359E-3</v>
      </c>
      <c r="AE149" s="12"/>
      <c r="AF149" s="12"/>
      <c r="AG149" s="12"/>
      <c r="AH149" s="14"/>
      <c r="AI149" s="14"/>
      <c r="AJ149" s="14"/>
      <c r="AK149" s="246">
        <f>IF(ISNUMBER($D149),_xll.xlBondAswSpread($F149&amp;T(TYPE($AV$1)),$H149,$G149,$J149,$K149,$L149,$M149,$D149,$W149,IF(NOT($H149),TRUE,FALSE),curveName,curveName,,,2),"")</f>
        <v>-0.45911733683486944</v>
      </c>
      <c r="AL149" s="213">
        <f>IF($W149&gt;0,_xll.xlBondZSpread(F149&amp;T(TYPE($AV$1)),H149,G149,J149,K149,L149,M149,D149,U149,"annual",5,IF(NOT($H149),TRUE,FALSE),curveName)*100,"")</f>
        <v>-44.069199067188322</v>
      </c>
      <c r="AM149" s="266">
        <f>(-IF($AL$9="",VLOOKUP(VLOOKUP(E149,'DB Basis'!$D$2:$H$65205,4,0),Bonds!$AR$1:$AS$6,2,0),$AL$9)*VLOOKUP(E149,'DB Basis'!$D$2:$E$65205,2,0))+IF(V149="",W149,V149)</f>
        <v>10.82705</v>
      </c>
      <c r="AN149" s="274" t="str">
        <f>IF($AN$9+(($AL$9-$AM$9))*('DB Basis'!F309/10-'DB Basis'!E309),," ")</f>
        <v xml:space="preserve"> </v>
      </c>
      <c r="AO149" s="639">
        <f>IF(U149&gt;0,_xll.xlShmImplSwap2(curveName&amp;T(TYPE($AV$1)),curveName,D149,G149,,1,8,2,4),"")</f>
        <v>-1.9795412516599381E-3</v>
      </c>
      <c r="AP149" s="640">
        <f t="shared" si="21"/>
        <v>-4.4239980266135978E-3</v>
      </c>
      <c r="AQ149" s="386" t="str">
        <f t="shared" si="22"/>
        <v>-</v>
      </c>
      <c r="AR149" s="386" t="str">
        <f t="shared" si="23"/>
        <v>-</v>
      </c>
      <c r="AS149" s="388"/>
      <c r="AT149" s="242">
        <f t="shared" si="24"/>
        <v>-0.63158195621328028</v>
      </c>
      <c r="AU149" s="686" t="str">
        <f t="shared" si="19"/>
        <v>BUND  04-Jan-20  3.25</v>
      </c>
      <c r="AV149" s="702"/>
      <c r="AW149" s="684"/>
      <c r="AX149" s="684"/>
      <c r="AY149" s="684"/>
      <c r="AZ149" s="684"/>
      <c r="BA149" s="684"/>
      <c r="BB149" s="683"/>
      <c r="BC149" s="696"/>
      <c r="BE149" s="706">
        <f>_xll.xlDateShiftMonth(BE148,1)</f>
        <v>47389</v>
      </c>
      <c r="BF149" s="707">
        <v>2.1191953667948356E-2</v>
      </c>
      <c r="BU149" s="133" t="s">
        <v>599</v>
      </c>
      <c r="BV149" s="133" t="s">
        <v>599</v>
      </c>
      <c r="BW149" s="133" t="s">
        <v>599</v>
      </c>
      <c r="BX149" s="133" t="s">
        <v>599</v>
      </c>
      <c r="BY149" s="133" t="s">
        <v>599</v>
      </c>
      <c r="BZ149" s="133" t="s">
        <v>599</v>
      </c>
      <c r="CA149" s="133" t="s">
        <v>599</v>
      </c>
      <c r="CB149" s="133" t="s">
        <v>599</v>
      </c>
      <c r="CC149" s="133" t="s">
        <v>599</v>
      </c>
      <c r="CD149" s="133" t="s">
        <v>599</v>
      </c>
      <c r="CE149" s="133" t="s">
        <v>599</v>
      </c>
      <c r="CF149" s="133" t="s">
        <v>599</v>
      </c>
    </row>
    <row r="150" spans="1:84">
      <c r="A150" s="10"/>
      <c r="B150" s="11"/>
      <c r="C150" s="12"/>
      <c r="D150" s="720">
        <f>MAX(_xll.xlDateSettle("TARGET",$D$4,2),L150)</f>
        <v>43179</v>
      </c>
      <c r="E150" s="718" t="s">
        <v>1729</v>
      </c>
      <c r="F150" s="13" t="s">
        <v>1413</v>
      </c>
      <c r="G150" s="35">
        <v>43903</v>
      </c>
      <c r="H150" s="37">
        <v>0</v>
      </c>
      <c r="I150" s="11">
        <v>43903</v>
      </c>
      <c r="J150" s="11">
        <v>43153</v>
      </c>
      <c r="K150" s="11">
        <v>43537</v>
      </c>
      <c r="L150" s="11">
        <v>43153</v>
      </c>
      <c r="M150" s="12">
        <v>101.065</v>
      </c>
      <c r="N150" s="12" t="s">
        <v>1730</v>
      </c>
      <c r="O150" s="12" t="s">
        <v>1197</v>
      </c>
      <c r="P150" s="12" t="s">
        <v>1731</v>
      </c>
      <c r="Q150" s="15">
        <v>5000000000</v>
      </c>
      <c r="R150" s="12"/>
      <c r="S150" s="43">
        <f>_xll.RtGet("IDN",$X150,$S$9)</f>
        <v>101.169</v>
      </c>
      <c r="T150" s="43">
        <f>_xll.RtGet("IDN",$X150,$T$9)</f>
        <v>101.209</v>
      </c>
      <c r="U150" s="25">
        <f t="shared" si="25"/>
        <v>101.18899999999999</v>
      </c>
      <c r="V150" s="12"/>
      <c r="W150" s="25">
        <f t="shared" si="26"/>
        <v>101.18899999999999</v>
      </c>
      <c r="X150" s="14" t="str">
        <f t="shared" si="20"/>
        <v>DE110471=</v>
      </c>
      <c r="Y150" s="14"/>
      <c r="Z150" s="14"/>
      <c r="AA150" s="14"/>
      <c r="AB150" s="14"/>
      <c r="AC150" s="14"/>
      <c r="AD150" s="34" t="str">
        <f>IF(ISNUMBER($D150),_xll.xlBondYield($F150,$H150,$G150,$J150,$K150,$L150,$M150,$D150,$W150,IF(NOT($H150),TRUE,FALSE)),"")</f>
        <v>Bond not alive on calculation date</v>
      </c>
      <c r="AE150" s="12"/>
      <c r="AF150" s="12"/>
      <c r="AG150" s="12"/>
      <c r="AH150" s="14"/>
      <c r="AI150" s="14"/>
      <c r="AJ150" s="14"/>
      <c r="AK150" s="246" t="str">
        <f>IF(ISNUMBER($D150),_xll.xlBondAswSpread($F150&amp;T(TYPE($AV$1)),$H150,$G150,$J150,$K150,$L150,$M150,$D150,$W150,IF(NOT($H150),TRUE,FALSE),curveName,curveName,,,2),"")</f>
        <v>Bond not alive on calculation date</v>
      </c>
      <c r="AL150" s="213" t="e">
        <f>IF($W150&gt;0,_xll.xlBondZSpread(F150&amp;T(TYPE($AV$1)),H150,G150,J150,K150,L150,M150,D150,U150,"annual",5,IF(NOT($H150),TRUE,FALSE),curveName)*100,"")</f>
        <v>#VALUE!</v>
      </c>
      <c r="AM150" s="266">
        <f>(-IF($AL$9="",VLOOKUP(VLOOKUP(E150,'DB Basis'!$D$2:$H$65205,4,0),Bonds!$AR$1:$AS$6,2,0),$AL$9)*VLOOKUP(E150,'DB Basis'!$D$2:$E$65205,2,0))+IF(V150="",W150,V150)</f>
        <v>0.17297592999999267</v>
      </c>
      <c r="AN150" s="274" t="str">
        <f>IF($AN$9+(($AL$9-$AM$9))*('DB Basis'!F310/10-'DB Basis'!E310),," ")</f>
        <v xml:space="preserve"> </v>
      </c>
      <c r="AO150" s="639">
        <f>IF(U150&gt;0,_xll.xlShmImplSwap2(curveName&amp;T(TYPE($AV$1)),curveName,D150,G150,,1,8,2,4),"")</f>
        <v>-1.7283584059702341E-3</v>
      </c>
      <c r="AP150" s="640" t="str">
        <f t="shared" si="21"/>
        <v>-</v>
      </c>
      <c r="AQ150" s="386" t="str">
        <f t="shared" si="22"/>
        <v>-</v>
      </c>
      <c r="AR150" s="386" t="str">
        <f t="shared" si="23"/>
        <v>-</v>
      </c>
      <c r="AS150" s="388"/>
      <c r="AT150" s="242" t="str">
        <f t="shared" si="24"/>
        <v>-</v>
      </c>
      <c r="AU150" s="686" t="str">
        <f t="shared" si="19"/>
        <v>BUND  13-Mar-20  0</v>
      </c>
      <c r="AV150" s="702"/>
      <c r="AW150" s="684"/>
      <c r="AX150" s="684"/>
      <c r="AY150" s="684"/>
      <c r="AZ150" s="684"/>
      <c r="BA150" s="684"/>
      <c r="BB150" s="683"/>
      <c r="BC150" s="696"/>
      <c r="BE150" s="706">
        <f>_xll.xlDateShiftMonth(BE149,1)</f>
        <v>47419</v>
      </c>
      <c r="BF150" s="707">
        <v>2.1281721609371102E-2</v>
      </c>
      <c r="BU150" s="133" t="s">
        <v>599</v>
      </c>
      <c r="BV150" s="133" t="s">
        <v>599</v>
      </c>
      <c r="BW150" s="133" t="s">
        <v>599</v>
      </c>
      <c r="BX150" s="133" t="s">
        <v>599</v>
      </c>
      <c r="BY150" s="133" t="s">
        <v>599</v>
      </c>
      <c r="BZ150" s="133" t="s">
        <v>599</v>
      </c>
      <c r="CA150" s="133" t="s">
        <v>599</v>
      </c>
      <c r="CB150" s="133" t="s">
        <v>599</v>
      </c>
      <c r="CC150" s="133" t="s">
        <v>599</v>
      </c>
      <c r="CD150" s="133" t="s">
        <v>599</v>
      </c>
      <c r="CE150" s="133" t="s">
        <v>599</v>
      </c>
      <c r="CF150" s="133" t="s">
        <v>599</v>
      </c>
    </row>
    <row r="151" spans="1:84">
      <c r="A151" s="10"/>
      <c r="B151" s="11"/>
      <c r="C151" s="12"/>
      <c r="D151" s="720">
        <f>MAX(_xll.xlDateSettle("TARGET",$D$4,2),L151)</f>
        <v>43179</v>
      </c>
      <c r="E151" s="718" t="s">
        <v>573</v>
      </c>
      <c r="F151" s="13" t="s">
        <v>1413</v>
      </c>
      <c r="G151" s="35">
        <v>43938</v>
      </c>
      <c r="H151" s="37">
        <v>0</v>
      </c>
      <c r="I151" s="11">
        <v>43938</v>
      </c>
      <c r="J151" s="11">
        <v>42027</v>
      </c>
      <c r="K151" s="11">
        <v>42477</v>
      </c>
      <c r="L151" s="11">
        <v>42027</v>
      </c>
      <c r="M151" s="12">
        <v>99.81</v>
      </c>
      <c r="N151" s="12" t="s">
        <v>1441</v>
      </c>
      <c r="O151" s="12" t="s">
        <v>1178</v>
      </c>
      <c r="P151" s="12" t="s">
        <v>1442</v>
      </c>
      <c r="Q151" s="15">
        <v>20000000000</v>
      </c>
      <c r="R151" s="12"/>
      <c r="S151" s="43">
        <f>_xll.RtGet("IDN",$X151,$S$9)</f>
        <v>101.2</v>
      </c>
      <c r="T151" s="43">
        <f>_xll.RtGet("IDN",$X151,$T$9)</f>
        <v>101.22500000000001</v>
      </c>
      <c r="U151" s="25">
        <f t="shared" si="25"/>
        <v>101.21250000000001</v>
      </c>
      <c r="V151" s="12"/>
      <c r="W151" s="25">
        <f t="shared" si="26"/>
        <v>101.21250000000001</v>
      </c>
      <c r="X151" s="14" t="str">
        <f t="shared" si="20"/>
        <v>DE114171=</v>
      </c>
      <c r="Y151" s="14"/>
      <c r="Z151" s="14"/>
      <c r="AA151" s="14"/>
      <c r="AB151" s="14"/>
      <c r="AC151" s="14"/>
      <c r="AD151" s="34" t="str">
        <f>IF(ISNUMBER($D151),_xll.xlBondYield($F151,$H151,$G151,$J151,$K151,$L151,$M151,$D151,$W151,IF(NOT($H151),TRUE,FALSE)),"")</f>
        <v>Bond not alive on calculation date</v>
      </c>
      <c r="AE151" s="12"/>
      <c r="AF151" s="12"/>
      <c r="AG151" s="12"/>
      <c r="AH151" s="14"/>
      <c r="AI151" s="14"/>
      <c r="AJ151" s="14"/>
      <c r="AK151" s="246" t="str">
        <f>IF(ISNUMBER($D151),_xll.xlBondAswSpread($F151&amp;T(TYPE($AV$1)),$H151,$G151,$J151,$K151,$L151,$M151,$D151,$W151,IF(NOT($H151),TRUE,FALSE),curveName,curveName,,,2),"")</f>
        <v>Bond not alive on calculation date</v>
      </c>
      <c r="AL151" s="213" t="e">
        <f>IF($W151&gt;0,_xll.xlBondZSpread(F151&amp;T(TYPE($AV$1)),H151,G151,J151,K151,L151,M151,D151,U151,"annual",5,IF(NOT($H151),TRUE,FALSE),curveName)*100,"")</f>
        <v>#VALUE!</v>
      </c>
      <c r="AM151" s="266">
        <f>(-IF($AL$9="",VLOOKUP(VLOOKUP(E151,'DB Basis'!$D$2:$H$65205,4,0),Bonds!$AR$1:$AS$6,2,0),$AL$9)*VLOOKUP(E151,'DB Basis'!$D$2:$E$65205,2,0))+IF(V151="",W151,V151)</f>
        <v>0.75935678750001046</v>
      </c>
      <c r="AN151" s="274" t="str">
        <f>IF($AN$9+(($AL$9-$AM$9))*('DB Basis'!F311/10-'DB Basis'!E311),," ")</f>
        <v xml:space="preserve"> </v>
      </c>
      <c r="AO151" s="639">
        <f>IF(U151&gt;0,_xll.xlShmImplSwap2(curveName&amp;T(TYPE($AV$1)),curveName,D151,G151,,1,8,2,4),"")</f>
        <v>-1.5848115592578418E-3</v>
      </c>
      <c r="AP151" s="640" t="str">
        <f t="shared" si="21"/>
        <v>-</v>
      </c>
      <c r="AQ151" s="386" t="str">
        <f t="shared" si="22"/>
        <v>-</v>
      </c>
      <c r="AR151" s="386" t="str">
        <f t="shared" si="23"/>
        <v>-</v>
      </c>
      <c r="AS151" s="388"/>
      <c r="AT151" s="242" t="str">
        <f t="shared" si="24"/>
        <v>-</v>
      </c>
      <c r="AU151" s="686" t="str">
        <f t="shared" si="19"/>
        <v>BUND  17-Apr-20  0</v>
      </c>
      <c r="AV151" s="702"/>
      <c r="AW151" s="684"/>
      <c r="AX151" s="684"/>
      <c r="AY151" s="684"/>
      <c r="AZ151" s="684"/>
      <c r="BA151" s="684"/>
      <c r="BB151" s="683"/>
      <c r="BC151" s="696"/>
      <c r="BE151" s="706">
        <f>_xll.xlDateShiftMonth(BE150,1)</f>
        <v>47450</v>
      </c>
      <c r="BF151" s="707">
        <v>2.1371161790288418E-2</v>
      </c>
      <c r="BU151" s="133" t="s">
        <v>599</v>
      </c>
      <c r="BV151" s="133" t="s">
        <v>599</v>
      </c>
      <c r="BW151" s="133" t="s">
        <v>599</v>
      </c>
      <c r="BX151" s="133" t="s">
        <v>599</v>
      </c>
      <c r="BY151" s="133" t="s">
        <v>599</v>
      </c>
      <c r="BZ151" s="133" t="s">
        <v>599</v>
      </c>
      <c r="CA151" s="133" t="s">
        <v>599</v>
      </c>
      <c r="CB151" s="133" t="s">
        <v>599</v>
      </c>
      <c r="CC151" s="133" t="s">
        <v>599</v>
      </c>
      <c r="CD151" s="133" t="s">
        <v>599</v>
      </c>
      <c r="CE151" s="133" t="s">
        <v>599</v>
      </c>
      <c r="CF151" s="133" t="s">
        <v>599</v>
      </c>
    </row>
    <row r="152" spans="1:84">
      <c r="A152" s="10"/>
      <c r="B152" s="11"/>
      <c r="C152" s="12"/>
      <c r="D152" s="720">
        <f>MAX(_xll.xlDateSettle("TARGET",$D$4,2),L152)</f>
        <v>43179</v>
      </c>
      <c r="E152" s="718" t="s">
        <v>637</v>
      </c>
      <c r="F152" s="13" t="s">
        <v>1413</v>
      </c>
      <c r="G152" s="35">
        <v>44016</v>
      </c>
      <c r="H152" s="37">
        <v>3</v>
      </c>
      <c r="I152" s="11">
        <v>44016</v>
      </c>
      <c r="J152" s="11">
        <v>40298</v>
      </c>
      <c r="K152" s="11">
        <v>40728</v>
      </c>
      <c r="L152" s="11">
        <v>40298</v>
      </c>
      <c r="M152" s="12">
        <v>98.95</v>
      </c>
      <c r="N152" s="12" t="s">
        <v>1443</v>
      </c>
      <c r="O152" s="12" t="s">
        <v>1178</v>
      </c>
      <c r="P152" s="12" t="s">
        <v>1444</v>
      </c>
      <c r="Q152" s="15">
        <v>22000000000</v>
      </c>
      <c r="R152" s="12"/>
      <c r="S152" s="43">
        <f>_xll.RtGet("IDN",$X152,$S$9)</f>
        <v>108.18600000000001</v>
      </c>
      <c r="T152" s="43">
        <f>_xll.RtGet("IDN",$X152,$T$9)</f>
        <v>108.21600000000001</v>
      </c>
      <c r="U152" s="25">
        <f t="shared" si="25"/>
        <v>108.20100000000001</v>
      </c>
      <c r="V152" s="12"/>
      <c r="W152" s="25">
        <f t="shared" si="26"/>
        <v>108.20100000000001</v>
      </c>
      <c r="X152" s="14" t="str">
        <f t="shared" si="20"/>
        <v>DE113540=</v>
      </c>
      <c r="Y152" s="14"/>
      <c r="Z152" s="14"/>
      <c r="AA152" s="14"/>
      <c r="AB152" s="14"/>
      <c r="AC152" s="14"/>
      <c r="AD152" s="34">
        <f>IF(ISNUMBER($D152),_xll.xlBondYield($F152,$H152,$G152,$J152,$K152,$L152,$M152,$D152,$W152,IF(NOT($H152),TRUE,FALSE)),"")</f>
        <v>-5.4762467996771272E-3</v>
      </c>
      <c r="AE152" s="12"/>
      <c r="AF152" s="12"/>
      <c r="AG152" s="12"/>
      <c r="AH152" s="14"/>
      <c r="AI152" s="14"/>
      <c r="AJ152" s="14"/>
      <c r="AK152" s="246">
        <f>IF(ISNUMBER($D152),_xll.xlBondAswSpread($F152&amp;T(TYPE($AV$1)),$H152,$G152,$J152,$K152,$L152,$M152,$D152,$W152,IF(NOT($H152),TRUE,FALSE),curveName,curveName,,,2),"")</f>
        <v>-0.44071602484043476</v>
      </c>
      <c r="AL152" s="213">
        <f>IF($W152&gt;0,_xll.xlBondZSpread(F152&amp;T(TYPE($AV$1)),H152,G152,J152,K152,L152,M152,D152,U152,"annual",5,IF(NOT($H152),TRUE,FALSE),curveName)*100,"")</f>
        <v>-42.181551021908327</v>
      </c>
      <c r="AM152" s="266">
        <f>(-IF($AL$9="",VLOOKUP(VLOOKUP(E152,'DB Basis'!$D$2:$H$65205,4,0),Bonds!$AR$1:$AS$6,2,0),$AL$9)*VLOOKUP(E152,'DB Basis'!$D$2:$E$65205,2,0))+IF(V152="",W152,V152)</f>
        <v>2.660559512500015</v>
      </c>
      <c r="AN152" s="274" t="str">
        <f>IF($AN$9+(($AL$9-$AM$9))*('DB Basis'!F312/10-'DB Basis'!E312),," ")</f>
        <v xml:space="preserve"> </v>
      </c>
      <c r="AO152" s="639">
        <f>IF(U152&gt;0,_xll.xlShmImplSwap2(curveName&amp;T(TYPE($AV$1)),curveName,D152,G152,,1,8,2,4),"")</f>
        <v>-1.2138389857938388E-3</v>
      </c>
      <c r="AP152" s="640">
        <f t="shared" si="21"/>
        <v>-4.2624078138832882E-3</v>
      </c>
      <c r="AQ152" s="386" t="str">
        <f t="shared" si="22"/>
        <v>-</v>
      </c>
      <c r="AR152" s="386" t="str">
        <f t="shared" si="23"/>
        <v>-</v>
      </c>
      <c r="AS152" s="388"/>
      <c r="AT152" s="242">
        <f t="shared" si="24"/>
        <v>-0.54012297202294957</v>
      </c>
      <c r="AU152" s="686" t="str">
        <f t="shared" si="19"/>
        <v>BUND  04-Jul-20  3</v>
      </c>
      <c r="AV152" s="702"/>
      <c r="AW152" s="684"/>
      <c r="AX152" s="684"/>
      <c r="AY152" s="684"/>
      <c r="AZ152" s="684"/>
      <c r="BA152" s="684"/>
      <c r="BB152" s="683"/>
      <c r="BC152" s="696"/>
      <c r="BE152" s="706">
        <f>_xll.xlDateShiftMonth(BE151,1)</f>
        <v>47480</v>
      </c>
      <c r="BF152" s="707">
        <v>2.1457056715220899E-2</v>
      </c>
      <c r="BU152" s="133" t="s">
        <v>599</v>
      </c>
      <c r="BV152" s="133" t="s">
        <v>599</v>
      </c>
      <c r="BW152" s="133" t="s">
        <v>599</v>
      </c>
      <c r="BX152" s="133" t="s">
        <v>599</v>
      </c>
      <c r="BY152" s="133" t="s">
        <v>599</v>
      </c>
      <c r="BZ152" s="133" t="s">
        <v>599</v>
      </c>
      <c r="CA152" s="133" t="s">
        <v>599</v>
      </c>
      <c r="CB152" s="133" t="s">
        <v>599</v>
      </c>
      <c r="CC152" s="133" t="s">
        <v>599</v>
      </c>
      <c r="CD152" s="133" t="s">
        <v>599</v>
      </c>
      <c r="CE152" s="133" t="s">
        <v>599</v>
      </c>
      <c r="CF152" s="133" t="s">
        <v>599</v>
      </c>
    </row>
    <row r="153" spans="1:84">
      <c r="A153" s="10"/>
      <c r="B153" s="11"/>
      <c r="C153" s="12"/>
      <c r="D153" s="720">
        <f>MAX(_xll.xlDateSettle("TARGET",$D$4,2),L153)</f>
        <v>43179</v>
      </c>
      <c r="E153" s="718" t="s">
        <v>638</v>
      </c>
      <c r="F153" s="13" t="s">
        <v>1413</v>
      </c>
      <c r="G153" s="35">
        <v>44078</v>
      </c>
      <c r="H153" s="37">
        <v>2.25</v>
      </c>
      <c r="I153" s="11">
        <v>44078</v>
      </c>
      <c r="J153" s="11">
        <v>40410</v>
      </c>
      <c r="K153" s="11">
        <v>40790</v>
      </c>
      <c r="L153" s="11">
        <v>40410</v>
      </c>
      <c r="M153" s="12">
        <v>98.97</v>
      </c>
      <c r="N153" s="12" t="s">
        <v>1445</v>
      </c>
      <c r="O153" s="12" t="s">
        <v>1178</v>
      </c>
      <c r="P153" s="12" t="s">
        <v>1446</v>
      </c>
      <c r="Q153" s="15">
        <v>16000000000</v>
      </c>
      <c r="R153" s="12"/>
      <c r="S153" s="43">
        <f>_xll.RtGet("IDN",$X153,$S$9)</f>
        <v>106.873</v>
      </c>
      <c r="T153" s="43">
        <f>_xll.RtGet("IDN",$X153,$T$9)</f>
        <v>106.913</v>
      </c>
      <c r="U153" s="25">
        <f t="shared" si="25"/>
        <v>106.893</v>
      </c>
      <c r="V153" s="12"/>
      <c r="W153" s="25">
        <f t="shared" si="26"/>
        <v>106.893</v>
      </c>
      <c r="X153" s="14" t="str">
        <f t="shared" si="20"/>
        <v>DE113541=</v>
      </c>
      <c r="Y153" s="14"/>
      <c r="Z153" s="14"/>
      <c r="AA153" s="14"/>
      <c r="AB153" s="14"/>
      <c r="AC153" s="14"/>
      <c r="AD153" s="34">
        <f>IF(ISNUMBER($D153),_xll.xlBondYield($F153,$H153,$G153,$J153,$K153,$L153,$M153,$D153,$W153,IF(NOT($H153),TRUE,FALSE)),"")</f>
        <v>-5.2567841152873912E-3</v>
      </c>
      <c r="AE153" s="12"/>
      <c r="AF153" s="12"/>
      <c r="AG153" s="12"/>
      <c r="AH153" s="14"/>
      <c r="AI153" s="14"/>
      <c r="AJ153" s="14"/>
      <c r="AK153" s="246">
        <f>IF(ISNUMBER($D153),_xll.xlBondAswSpread($F153&amp;T(TYPE($AV$1)),$H153,$G153,$J153,$K153,$L153,$M153,$D153,$W153,IF(NOT($H153),TRUE,FALSE),curveName,curveName,,,2),"")</f>
        <v>-0.45456118544623025</v>
      </c>
      <c r="AL153" s="213">
        <f>IF($W153&gt;0,_xll.xlBondZSpread(F153&amp;T(TYPE($AV$1)),H153,G153,J153,K153,L153,M153,D153,U153,"annual",5,IF(NOT($H153),TRUE,FALSE),curveName)*100,"")</f>
        <v>-43.88268613056826</v>
      </c>
      <c r="AM153" s="266">
        <f>(-IF($AL$9="",VLOOKUP(VLOOKUP(E153,'DB Basis'!$D$2:$H$65205,4,0),Bonds!$AR$1:$AS$6,2,0),$AL$9)*VLOOKUP(E153,'DB Basis'!$D$2:$E$65205,2,0))+IF(V153="",W153,V153)</f>
        <v>3.5546308775000028</v>
      </c>
      <c r="AN153" s="274" t="str">
        <f>IF($AN$9+(($AL$9-$AM$9))*('DB Basis'!F313/10-'DB Basis'!E313),," ")</f>
        <v xml:space="preserve"> </v>
      </c>
      <c r="AO153" s="639">
        <f>IF(U153&gt;0,_xll.xlShmImplSwap2(curveName&amp;T(TYPE($AV$1)),curveName,D153,G153,,1,8,2,4),"")</f>
        <v>-8.3745635697008336E-4</v>
      </c>
      <c r="AP153" s="640">
        <f t="shared" si="21"/>
        <v>-4.4193277583173081E-3</v>
      </c>
      <c r="AQ153" s="386">
        <f t="shared" si="22"/>
        <v>12.919980613266715</v>
      </c>
      <c r="AR153" s="386">
        <f t="shared" si="23"/>
        <v>-9.238028986841492</v>
      </c>
      <c r="AS153" s="388"/>
      <c r="AT153" s="242">
        <f t="shared" si="24"/>
        <v>-0.51847733739820856</v>
      </c>
      <c r="AU153" s="686" t="str">
        <f t="shared" si="19"/>
        <v>BUND  04-Sep-20  2.25</v>
      </c>
      <c r="AV153" s="702"/>
      <c r="AW153" s="684"/>
      <c r="AX153" s="684"/>
      <c r="AY153" s="684"/>
      <c r="AZ153" s="684"/>
      <c r="BA153" s="684"/>
      <c r="BB153" s="683"/>
      <c r="BC153" s="696"/>
      <c r="BE153" s="706">
        <f>_xll.xlDateShiftMonth(BE152,1)</f>
        <v>47511</v>
      </c>
      <c r="BF153" s="707">
        <v>2.1545162550106335E-2</v>
      </c>
      <c r="BU153" s="133" t="s">
        <v>599</v>
      </c>
      <c r="BV153" s="133" t="s">
        <v>599</v>
      </c>
      <c r="BW153" s="133" t="s">
        <v>599</v>
      </c>
      <c r="BX153" s="133" t="s">
        <v>599</v>
      </c>
      <c r="BY153" s="133" t="s">
        <v>599</v>
      </c>
      <c r="BZ153" s="133" t="s">
        <v>599</v>
      </c>
      <c r="CA153" s="133" t="s">
        <v>599</v>
      </c>
      <c r="CB153" s="133" t="s">
        <v>599</v>
      </c>
      <c r="CC153" s="133" t="s">
        <v>599</v>
      </c>
      <c r="CD153" s="133" t="s">
        <v>599</v>
      </c>
      <c r="CE153" s="133" t="s">
        <v>599</v>
      </c>
      <c r="CF153" s="133" t="s">
        <v>599</v>
      </c>
    </row>
    <row r="154" spans="1:84">
      <c r="A154" s="10"/>
      <c r="B154" s="11"/>
      <c r="C154" s="12"/>
      <c r="D154" s="720">
        <f>MAX(_xll.xlDateSettle("TARGET",$D$4,2),L154)</f>
        <v>43179</v>
      </c>
      <c r="E154" s="718" t="s">
        <v>739</v>
      </c>
      <c r="F154" s="13" t="s">
        <v>1413</v>
      </c>
      <c r="G154" s="35">
        <v>44120</v>
      </c>
      <c r="H154" s="37">
        <v>0.25</v>
      </c>
      <c r="I154" s="11">
        <v>44120</v>
      </c>
      <c r="J154" s="11">
        <v>42188</v>
      </c>
      <c r="K154" s="11">
        <v>42659</v>
      </c>
      <c r="L154" s="11">
        <v>42188</v>
      </c>
      <c r="M154" s="12">
        <v>100.43</v>
      </c>
      <c r="N154" s="12" t="s">
        <v>1447</v>
      </c>
      <c r="O154" s="12" t="s">
        <v>1178</v>
      </c>
      <c r="P154" s="12" t="s">
        <v>1448</v>
      </c>
      <c r="Q154" s="15">
        <v>19000000000</v>
      </c>
      <c r="R154" s="12"/>
      <c r="S154" s="43">
        <f>_xll.RtGet("IDN",$X154,$S$9)</f>
        <v>101.929</v>
      </c>
      <c r="T154" s="43">
        <f>_xll.RtGet("IDN",$X154,$T$9)</f>
        <v>101.959</v>
      </c>
      <c r="U154" s="25">
        <f t="shared" si="25"/>
        <v>101.944</v>
      </c>
      <c r="V154" s="12"/>
      <c r="W154" s="25">
        <f t="shared" si="26"/>
        <v>101.944</v>
      </c>
      <c r="X154" s="14" t="str">
        <f t="shared" si="20"/>
        <v>DE114172=</v>
      </c>
      <c r="Y154" s="14"/>
      <c r="Z154" s="14"/>
      <c r="AA154" s="14"/>
      <c r="AB154" s="14"/>
      <c r="AC154" s="14"/>
      <c r="AD154" s="34">
        <f>IF(ISNUMBER($D154),_xll.xlBondYield($F154,$H154,$G154,$J154,$K154,$L154,$M154,$D154,$W154,IF(NOT($H154),TRUE,FALSE)),"")</f>
        <v>-4.9807996260128797E-3</v>
      </c>
      <c r="AE154" s="12"/>
      <c r="AF154" s="12"/>
      <c r="AG154" s="12"/>
      <c r="AH154" s="14"/>
      <c r="AI154" s="14"/>
      <c r="AJ154" s="14"/>
      <c r="AK154" s="246">
        <f>IF(ISNUMBER($D154),_xll.xlBondAswSpread($F154&amp;T(TYPE($AV$1)),$H154,$G154,$J154,$K154,$L154,$M154,$D154,$W154,IF(NOT($H154),TRUE,FALSE),curveName,curveName,,,2),"")</f>
        <v>-0.43921075568969831</v>
      </c>
      <c r="AL154" s="213">
        <f>IF($W154&gt;0,_xll.xlBondZSpread(F154&amp;T(TYPE($AV$1)),H154,G154,J154,K154,L154,M154,D154,U154,"annual",5,IF(NOT($H154),TRUE,FALSE),curveName)*100,"")</f>
        <v>-43.998761394590481</v>
      </c>
      <c r="AM154" s="266">
        <f>(-IF($AL$9="",VLOOKUP(VLOOKUP(E154,'DB Basis'!$D$2:$H$65205,4,0),Bonds!$AR$1:$AS$6,2,0),$AL$9)*VLOOKUP(E154,'DB Basis'!$D$2:$E$65205,2,0))+IF(V154="",W154,V154)</f>
        <v>-29.070407500000002</v>
      </c>
      <c r="AN154" s="274" t="str">
        <f>IF($AN$9+(($AL$9-$AM$9))*('DB Basis'!F314/10-'DB Basis'!E314),," ")</f>
        <v xml:space="preserve"> </v>
      </c>
      <c r="AO154" s="639">
        <f>IF(U154&gt;0,_xll.xlShmImplSwap2(curveName&amp;T(TYPE($AV$1)),curveName,D154,G154,,1,8,2,4),"")</f>
        <v>-5.7150954732027861E-4</v>
      </c>
      <c r="AP154" s="640">
        <f t="shared" si="21"/>
        <v>-4.4092900786926008E-3</v>
      </c>
      <c r="AQ154" s="386">
        <f t="shared" si="22"/>
        <v>23.984366329808736</v>
      </c>
      <c r="AR154" s="386">
        <f t="shared" si="23"/>
        <v>0.87232215786146539</v>
      </c>
      <c r="AS154" s="388"/>
      <c r="AT154" s="242">
        <f t="shared" si="24"/>
        <v>-0.49125694941496895</v>
      </c>
      <c r="AU154" s="686" t="str">
        <f t="shared" si="19"/>
        <v>BUND  16-Oct-20  0.25</v>
      </c>
      <c r="AV154" s="702"/>
      <c r="AW154" s="684"/>
      <c r="AX154" s="684"/>
      <c r="AY154" s="684"/>
      <c r="AZ154" s="684"/>
      <c r="BA154" s="684"/>
      <c r="BB154" s="683"/>
      <c r="BC154" s="696"/>
      <c r="BE154" s="706">
        <f>_xll.xlDateShiftMonth(BE153,1)</f>
        <v>47542</v>
      </c>
      <c r="BF154" s="707">
        <v>2.1632597229992164E-2</v>
      </c>
      <c r="BU154" s="133" t="s">
        <v>599</v>
      </c>
      <c r="BV154" s="133" t="s">
        <v>599</v>
      </c>
      <c r="BW154" s="133" t="s">
        <v>599</v>
      </c>
      <c r="BX154" s="133" t="s">
        <v>599</v>
      </c>
      <c r="BY154" s="133" t="s">
        <v>599</v>
      </c>
      <c r="BZ154" s="133" t="s">
        <v>599</v>
      </c>
      <c r="CA154" s="133" t="s">
        <v>599</v>
      </c>
      <c r="CB154" s="133" t="s">
        <v>599</v>
      </c>
      <c r="CC154" s="133" t="s">
        <v>599</v>
      </c>
      <c r="CD154" s="133" t="s">
        <v>599</v>
      </c>
      <c r="CE154" s="133" t="s">
        <v>599</v>
      </c>
      <c r="CF154" s="133" t="s">
        <v>599</v>
      </c>
    </row>
    <row r="155" spans="1:84">
      <c r="A155" s="10"/>
      <c r="B155" s="11"/>
      <c r="C155" s="12"/>
      <c r="D155" s="720">
        <f>MAX(_xll.xlDateSettle("TARGET",$D$4,2),L155)</f>
        <v>43179</v>
      </c>
      <c r="E155" s="718" t="s">
        <v>639</v>
      </c>
      <c r="F155" s="13" t="s">
        <v>1413</v>
      </c>
      <c r="G155" s="35">
        <v>44200</v>
      </c>
      <c r="H155" s="37">
        <v>2.5</v>
      </c>
      <c r="I155" s="11">
        <v>44200</v>
      </c>
      <c r="J155" s="11">
        <v>40508</v>
      </c>
      <c r="K155" s="11">
        <v>40912</v>
      </c>
      <c r="L155" s="11">
        <v>40508</v>
      </c>
      <c r="M155" s="12">
        <v>99.21</v>
      </c>
      <c r="N155" s="12" t="s">
        <v>1449</v>
      </c>
      <c r="O155" s="12" t="s">
        <v>1178</v>
      </c>
      <c r="P155" s="12" t="s">
        <v>1450</v>
      </c>
      <c r="Q155" s="15">
        <v>19000000000</v>
      </c>
      <c r="R155" s="12"/>
      <c r="S155" s="43">
        <f>_xll.RtGet("IDN",$X155,$S$9)</f>
        <v>108.342</v>
      </c>
      <c r="T155" s="43">
        <f>_xll.RtGet("IDN",$X155,$T$9)</f>
        <v>108.38200000000001</v>
      </c>
      <c r="U155" s="25">
        <f t="shared" si="25"/>
        <v>108.36199999999999</v>
      </c>
      <c r="V155" s="12"/>
      <c r="W155" s="25">
        <f t="shared" si="26"/>
        <v>108.36199999999999</v>
      </c>
      <c r="X155" s="14" t="str">
        <f t="shared" si="20"/>
        <v>DE113542=</v>
      </c>
      <c r="Y155" s="14"/>
      <c r="Z155" s="14"/>
      <c r="AA155" s="14"/>
      <c r="AB155" s="14"/>
      <c r="AC155" s="14"/>
      <c r="AD155" s="34">
        <f>IF(ISNUMBER($D155),_xll.xlBondYield($F155,$H155,$G155,$J155,$K155,$L155,$M155,$D155,$W155,IF(NOT($H155),TRUE,FALSE)),"")</f>
        <v>-4.655531691805475E-3</v>
      </c>
      <c r="AE155" s="12"/>
      <c r="AF155" s="12"/>
      <c r="AG155" s="12"/>
      <c r="AH155" s="14"/>
      <c r="AI155" s="14"/>
      <c r="AJ155" s="14"/>
      <c r="AK155" s="246">
        <f>IF(ISNUMBER($D155),_xll.xlBondAswSpread($F155&amp;T(TYPE($AV$1)),$H155,$G155,$J155,$K155,$L155,$M155,$D155,$W155,IF(NOT($H155),TRUE,FALSE),curveName,curveName,,,2),"")</f>
        <v>-0.47221719938667844</v>
      </c>
      <c r="AL155" s="213">
        <f>IF($W155&gt;0,_xll.xlBondZSpread(F155&amp;T(TYPE($AV$1)),H155,G155,J155,K155,L155,M155,D155,U155,"annual",5,IF(NOT($H155),TRUE,FALSE),curveName)*100,"")</f>
        <v>-45.372696414770338</v>
      </c>
      <c r="AM155" s="266">
        <f>(-IF($AL$9="",VLOOKUP(VLOOKUP(E155,'DB Basis'!$D$2:$H$65205,4,0),Bonds!$AR$1:$AS$6,2,0),$AL$9)*VLOOKUP(E155,'DB Basis'!$D$2:$E$65205,2,0))+IF(V155="",W155,V155)</f>
        <v>-39.54666499999999</v>
      </c>
      <c r="AN155" s="274" t="str">
        <f>IF($AN$9+(($AL$9-$AM$9))*('DB Basis'!F315/10-'DB Basis'!E315),," ")</f>
        <v xml:space="preserve"> </v>
      </c>
      <c r="AO155" s="639">
        <f>IF(U155&gt;0,_xll.xlShmImplSwap2(curveName&amp;T(TYPE($AV$1)),curveName,D155,G155,,1,8,2,4),"")</f>
        <v>-6.7491936151252297E-5</v>
      </c>
      <c r="AP155" s="640">
        <f t="shared" si="21"/>
        <v>-4.5880397556542227E-3</v>
      </c>
      <c r="AQ155" s="386">
        <f t="shared" si="22"/>
        <v>14.840349498212843</v>
      </c>
      <c r="AR155" s="386">
        <f t="shared" si="23"/>
        <v>-8.1554540113740011</v>
      </c>
      <c r="AS155" s="388"/>
      <c r="AT155" s="242">
        <f t="shared" si="24"/>
        <v>-0.45917572850684135</v>
      </c>
      <c r="AU155" s="686" t="str">
        <f t="shared" si="19"/>
        <v>BUND  04-Jan-21  2.5</v>
      </c>
      <c r="AV155" s="702"/>
      <c r="AW155" s="684"/>
      <c r="AX155" s="684"/>
      <c r="AY155" s="684"/>
      <c r="AZ155" s="684"/>
      <c r="BA155" s="684"/>
      <c r="BB155" s="683"/>
      <c r="BC155" s="696"/>
      <c r="BE155" s="706">
        <f>_xll.xlDateShiftMonth(BE154,1)</f>
        <v>47570</v>
      </c>
      <c r="BF155" s="707">
        <v>2.1710986715541225E-2</v>
      </c>
      <c r="BU155" s="133" t="s">
        <v>599</v>
      </c>
      <c r="BV155" s="133" t="s">
        <v>599</v>
      </c>
      <c r="BW155" s="133" t="s">
        <v>599</v>
      </c>
      <c r="BX155" s="133" t="s">
        <v>599</v>
      </c>
      <c r="BY155" s="133" t="s">
        <v>599</v>
      </c>
      <c r="BZ155" s="133" t="s">
        <v>599</v>
      </c>
      <c r="CA155" s="133" t="s">
        <v>599</v>
      </c>
      <c r="CB155" s="133" t="s">
        <v>599</v>
      </c>
      <c r="CC155" s="133" t="s">
        <v>599</v>
      </c>
      <c r="CD155" s="133" t="s">
        <v>599</v>
      </c>
      <c r="CE155" s="133" t="s">
        <v>599</v>
      </c>
      <c r="CF155" s="133" t="s">
        <v>599</v>
      </c>
    </row>
    <row r="156" spans="1:84">
      <c r="A156" s="10"/>
      <c r="B156" s="11"/>
      <c r="C156" s="12"/>
      <c r="D156" s="720">
        <f>MAX(_xll.xlDateSettle("TARGET",$D$4,2),L156)</f>
        <v>43179</v>
      </c>
      <c r="E156" s="718" t="s">
        <v>792</v>
      </c>
      <c r="F156" s="13" t="s">
        <v>599</v>
      </c>
      <c r="G156" s="35">
        <v>44295</v>
      </c>
      <c r="H156" s="37">
        <v>0</v>
      </c>
      <c r="I156" s="11">
        <v>44295</v>
      </c>
      <c r="J156" s="11">
        <v>42405</v>
      </c>
      <c r="K156" s="11">
        <v>42834</v>
      </c>
      <c r="L156" s="11">
        <v>42405</v>
      </c>
      <c r="M156" s="12">
        <v>101.24</v>
      </c>
      <c r="N156" s="12" t="s">
        <v>599</v>
      </c>
      <c r="O156" s="12" t="s">
        <v>1197</v>
      </c>
      <c r="P156" s="12" t="s">
        <v>1451</v>
      </c>
      <c r="Q156" s="15">
        <v>21000000000</v>
      </c>
      <c r="R156" s="12"/>
      <c r="S156" s="43">
        <f>_xll.RtGet("IDN",$X156,$S$9)</f>
        <v>101.232</v>
      </c>
      <c r="T156" s="43">
        <f>_xll.RtGet("IDN",$X156,$T$9)</f>
        <v>101.27200000000001</v>
      </c>
      <c r="U156" s="25">
        <f t="shared" si="25"/>
        <v>101.25200000000001</v>
      </c>
      <c r="V156" s="12"/>
      <c r="W156" s="25">
        <f t="shared" si="26"/>
        <v>101.25200000000001</v>
      </c>
      <c r="X156" s="14" t="str">
        <f t="shared" si="20"/>
        <v>DE114173=</v>
      </c>
      <c r="Y156" s="14"/>
      <c r="Z156" s="14"/>
      <c r="AA156" s="14"/>
      <c r="AB156" s="14"/>
      <c r="AC156" s="14"/>
      <c r="AD156" s="34" t="str">
        <f>IF(ISNUMBER($D156),_xll.xlBondYield($F156,$H156,$G156,$J156,$K156,$L156,$M156,$D156,$W156,IF(NOT($H156),TRUE,FALSE)),"")</f>
        <v>#Error in BondConventionManager::Instance(), Bond convention not found</v>
      </c>
      <c r="AE156" s="12"/>
      <c r="AF156" s="12"/>
      <c r="AG156" s="12"/>
      <c r="AH156" s="14"/>
      <c r="AI156" s="14"/>
      <c r="AJ156" s="14"/>
      <c r="AK156" s="246" t="str">
        <f>IF(ISNUMBER($D156),_xll.xlBondAswSpread($F156&amp;T(TYPE($AV$1)),$H156,$G156,$J156,$K156,$L156,$M156,$D156,$W156,IF(NOT($H156),TRUE,FALSE),curveName,curveName,,,2),"")</f>
        <v>Bond name not found in Bond Convention Manager</v>
      </c>
      <c r="AL156" s="213" t="e">
        <f>IF($W156&gt;0,_xll.xlBondZSpread(F156&amp;T(TYPE($AV$1)),H156,G156,J156,K156,L156,M156,D156,U156,"annual",5,IF(NOT($H156),TRUE,FALSE),curveName)*100,"")</f>
        <v>#VALUE!</v>
      </c>
      <c r="AM156" s="266">
        <f>(-IF($AL$9="",VLOOKUP(VLOOKUP(E156,'DB Basis'!$D$2:$H$65205,4,0),Bonds!$AR$1:$AS$6,2,0),$AL$9)*VLOOKUP(E156,'DB Basis'!$D$2:$E$65205,2,0))+IF(V156="",W156,V156)</f>
        <v>-52.474554999999981</v>
      </c>
      <c r="AN156" s="274" t="str">
        <f>IF($AN$9+(($AL$9-$AM$9))*('DB Basis'!F316/10-'DB Basis'!E316),," ")</f>
        <v xml:space="preserve"> </v>
      </c>
      <c r="AO156" s="639">
        <f>IF(U156&gt;0,_xll.xlShmImplSwap2(curveName&amp;T(TYPE($AV$1)),curveName,D156,G156,,1,8,2,4),"")</f>
        <v>5.1031070479788199E-4</v>
      </c>
      <c r="AP156" s="640" t="str">
        <f t="shared" si="21"/>
        <v>-</v>
      </c>
      <c r="AQ156" s="386" t="str">
        <f t="shared" si="22"/>
        <v>-</v>
      </c>
      <c r="AR156" s="386" t="str">
        <f t="shared" si="23"/>
        <v>-</v>
      </c>
      <c r="AS156" s="388"/>
      <c r="AT156" s="242" t="str">
        <f t="shared" si="24"/>
        <v>-</v>
      </c>
      <c r="AU156" s="686" t="str">
        <f t="shared" si="19"/>
        <v xml:space="preserve">  09-Apr-21  0</v>
      </c>
      <c r="AV156" s="702"/>
      <c r="AW156" s="684"/>
      <c r="AX156" s="684"/>
      <c r="AY156" s="684"/>
      <c r="AZ156" s="684"/>
      <c r="BA156" s="684"/>
      <c r="BB156" s="683"/>
      <c r="BC156" s="696"/>
      <c r="BE156" s="706">
        <f>_xll.xlDateShiftMonth(BE155,1)</f>
        <v>47601</v>
      </c>
      <c r="BF156" s="707">
        <v>2.1797121112529495E-2</v>
      </c>
      <c r="BU156" s="133" t="s">
        <v>599</v>
      </c>
      <c r="BV156" s="133" t="s">
        <v>599</v>
      </c>
      <c r="BW156" s="133" t="s">
        <v>599</v>
      </c>
      <c r="BX156" s="133" t="s">
        <v>599</v>
      </c>
      <c r="BY156" s="133" t="s">
        <v>599</v>
      </c>
      <c r="BZ156" s="133" t="s">
        <v>599</v>
      </c>
      <c r="CA156" s="133" t="s">
        <v>599</v>
      </c>
      <c r="CB156" s="133" t="s">
        <v>599</v>
      </c>
      <c r="CC156" s="133" t="s">
        <v>599</v>
      </c>
      <c r="CD156" s="133" t="s">
        <v>599</v>
      </c>
      <c r="CE156" s="133" t="s">
        <v>599</v>
      </c>
      <c r="CF156" s="133" t="s">
        <v>599</v>
      </c>
    </row>
    <row r="157" spans="1:84">
      <c r="A157" s="10"/>
      <c r="B157" s="11"/>
      <c r="C157" s="12"/>
      <c r="D157" s="720">
        <f>MAX(_xll.xlDateSettle("TARGET",$D$4,2),L157)</f>
        <v>43179</v>
      </c>
      <c r="E157" s="718" t="s">
        <v>640</v>
      </c>
      <c r="F157" s="13" t="s">
        <v>1413</v>
      </c>
      <c r="G157" s="35">
        <v>44381</v>
      </c>
      <c r="H157" s="37">
        <v>3.25</v>
      </c>
      <c r="I157" s="11">
        <v>44381</v>
      </c>
      <c r="J157" s="11">
        <v>40662</v>
      </c>
      <c r="K157" s="11">
        <v>41094</v>
      </c>
      <c r="L157" s="11">
        <v>40662</v>
      </c>
      <c r="M157" s="12">
        <v>99.72</v>
      </c>
      <c r="N157" s="12" t="s">
        <v>1452</v>
      </c>
      <c r="O157" s="12" t="s">
        <v>1178</v>
      </c>
      <c r="P157" s="12" t="s">
        <v>1453</v>
      </c>
      <c r="Q157" s="15">
        <v>19000000000</v>
      </c>
      <c r="R157" s="12"/>
      <c r="S157" s="43">
        <f>_xll.RtGet("IDN",$X157,$S$9)</f>
        <v>112.006</v>
      </c>
      <c r="T157" s="43">
        <f>_xll.RtGet("IDN",$X157,$T$9)</f>
        <v>112.026</v>
      </c>
      <c r="U157" s="25">
        <f t="shared" si="25"/>
        <v>112.01599999999999</v>
      </c>
      <c r="V157" s="12"/>
      <c r="W157" s="25">
        <f t="shared" si="26"/>
        <v>112.01599999999999</v>
      </c>
      <c r="X157" s="14" t="str">
        <f t="shared" si="20"/>
        <v>DE113544=</v>
      </c>
      <c r="Y157" s="14"/>
      <c r="Z157" s="14"/>
      <c r="AA157" s="14"/>
      <c r="AB157" s="14"/>
      <c r="AC157" s="14"/>
      <c r="AD157" s="34">
        <f>IF(ISNUMBER($D157),_xll.xlBondYield($F157,$H157,$G157,$J157,$K157,$L157,$M157,$D157,$W157,IF(NOT($H157),TRUE,FALSE)),"")</f>
        <v>-3.7232120282778905E-3</v>
      </c>
      <c r="AE157" s="12"/>
      <c r="AF157" s="12"/>
      <c r="AG157" s="12"/>
      <c r="AH157" s="14"/>
      <c r="AI157" s="14"/>
      <c r="AJ157" s="14"/>
      <c r="AK157" s="246">
        <f>IF(ISNUMBER($D157),_xll.xlBondAswSpread($F157&amp;T(TYPE($AV$1)),$H157,$G157,$J157,$K157,$L157,$M157,$D157,$W157,IF(NOT($H157),TRUE,FALSE),curveName,curveName,,,2),"")</f>
        <v>-0.48772442732751647</v>
      </c>
      <c r="AL157" s="213">
        <f>IF($W157&gt;0,_xll.xlBondZSpread(F157&amp;T(TYPE($AV$1)),H157,G157,J157,K157,L157,M157,D157,U157,"annual",5,IF(NOT($H157),TRUE,FALSE),curveName)*100,"")</f>
        <v>-45.977428206672641</v>
      </c>
      <c r="AM157" s="266">
        <f>(-IF($AL$9="",VLOOKUP(VLOOKUP(E157,'DB Basis'!$D$2:$H$65205,4,0),Bonds!$AR$1:$AS$6,2,0),$AL$9)*VLOOKUP(E157,'DB Basis'!$D$2:$E$65205,2,0))+IF(V157="",W157,V157)</f>
        <v>36.628064999999992</v>
      </c>
      <c r="AN157" s="274" t="str">
        <f>IF($AN$9+(($AL$9-$AM$9))*('DB Basis'!F317/10-'DB Basis'!E317),," ")</f>
        <v xml:space="preserve"> </v>
      </c>
      <c r="AO157" s="639">
        <f>IF(U157&gt;0,_xll.xlShmImplSwap2(curveName&amp;T(TYPE($AV$1)),curveName,D157,G157,,1,8,2,4),"")</f>
        <v>9.7877556606798467E-4</v>
      </c>
      <c r="AP157" s="640">
        <f t="shared" si="21"/>
        <v>-4.701987594345875E-3</v>
      </c>
      <c r="AQ157" s="386" t="str">
        <f t="shared" si="22"/>
        <v>-</v>
      </c>
      <c r="AR157" s="386" t="str">
        <f t="shared" si="23"/>
        <v>-</v>
      </c>
      <c r="AS157" s="388"/>
      <c r="AT157" s="242">
        <f t="shared" si="24"/>
        <v>-0.36722091237809329</v>
      </c>
      <c r="AU157" s="686" t="str">
        <f t="shared" si="19"/>
        <v>BUND  04-Jul-21  3.25</v>
      </c>
      <c r="AV157" s="702"/>
      <c r="AW157" s="684"/>
      <c r="AX157" s="684"/>
      <c r="AY157" s="684"/>
      <c r="AZ157" s="684"/>
      <c r="BA157" s="684"/>
      <c r="BB157" s="683"/>
      <c r="BC157" s="696"/>
      <c r="BE157" s="706">
        <f>_xll.xlDateShiftMonth(BE156,1)</f>
        <v>47631</v>
      </c>
      <c r="BF157" s="707">
        <v>2.1879815100661195E-2</v>
      </c>
      <c r="BU157" s="133" t="s">
        <v>599</v>
      </c>
      <c r="BV157" s="133" t="s">
        <v>599</v>
      </c>
      <c r="BW157" s="133" t="s">
        <v>599</v>
      </c>
      <c r="BX157" s="133" t="s">
        <v>599</v>
      </c>
      <c r="BY157" s="133" t="s">
        <v>599</v>
      </c>
      <c r="BZ157" s="133" t="s">
        <v>599</v>
      </c>
      <c r="CA157" s="133" t="s">
        <v>599</v>
      </c>
      <c r="CB157" s="133" t="s">
        <v>599</v>
      </c>
      <c r="CC157" s="133" t="s">
        <v>599</v>
      </c>
      <c r="CD157" s="133" t="s">
        <v>599</v>
      </c>
      <c r="CE157" s="133" t="s">
        <v>599</v>
      </c>
      <c r="CF157" s="133" t="s">
        <v>599</v>
      </c>
    </row>
    <row r="158" spans="1:84">
      <c r="A158" s="10"/>
      <c r="B158" s="11"/>
      <c r="C158" s="12"/>
      <c r="D158" s="720">
        <f>MAX(_xll.xlDateSettle("TARGET",$D$4,2),L158)</f>
        <v>43179</v>
      </c>
      <c r="E158" s="718" t="s">
        <v>641</v>
      </c>
      <c r="F158" s="13" t="s">
        <v>1413</v>
      </c>
      <c r="G158" s="35">
        <v>44443</v>
      </c>
      <c r="H158" s="37">
        <v>2.25</v>
      </c>
      <c r="I158" s="11">
        <v>44443</v>
      </c>
      <c r="J158" s="11">
        <v>40781</v>
      </c>
      <c r="K158" s="11">
        <v>41156</v>
      </c>
      <c r="L158" s="11">
        <v>40781</v>
      </c>
      <c r="M158" s="12">
        <v>100.88</v>
      </c>
      <c r="N158" s="12" t="s">
        <v>1454</v>
      </c>
      <c r="O158" s="12" t="s">
        <v>1178</v>
      </c>
      <c r="P158" s="12" t="s">
        <v>1455</v>
      </c>
      <c r="Q158" s="15">
        <v>16000000000</v>
      </c>
      <c r="R158" s="12"/>
      <c r="S158" s="43">
        <f>_xll.RtGet("IDN",$X158,$S$9)</f>
        <v>108.98</v>
      </c>
      <c r="T158" s="43">
        <f>_xll.RtGet("IDN",$X158,$T$9)</f>
        <v>108.997</v>
      </c>
      <c r="U158" s="25">
        <f t="shared" si="25"/>
        <v>108.9885</v>
      </c>
      <c r="V158" s="12"/>
      <c r="W158" s="25">
        <f t="shared" si="26"/>
        <v>108.9885</v>
      </c>
      <c r="X158" s="14" t="str">
        <f t="shared" si="20"/>
        <v>DE113545=</v>
      </c>
      <c r="Y158" s="14"/>
      <c r="Z158" s="14"/>
      <c r="AA158" s="14"/>
      <c r="AB158" s="14"/>
      <c r="AC158" s="14"/>
      <c r="AD158" s="34">
        <f>IF(ISNUMBER($D158),_xll.xlBondYield($F158,$H158,$G158,$J158,$K158,$L158,$M158,$D158,$W158,IF(NOT($H158),TRUE,FALSE)),"")</f>
        <v>-3.2836618402875863E-3</v>
      </c>
      <c r="AE158" s="12"/>
      <c r="AF158" s="12"/>
      <c r="AG158" s="12"/>
      <c r="AH158" s="14"/>
      <c r="AI158" s="14"/>
      <c r="AJ158" s="14"/>
      <c r="AK158" s="246">
        <f>IF(ISNUMBER($D158),_xll.xlBondAswSpread($F158&amp;T(TYPE($AV$1)),$H158,$G158,$J158,$K158,$L158,$M158,$D158,$W158,IF(NOT($H158),TRUE,FALSE),curveName,curveName,,,2),"")</f>
        <v>-0.47030183235608453</v>
      </c>
      <c r="AL158" s="213">
        <f>IF($W158&gt;0,_xll.xlBondZSpread(F158&amp;T(TYPE($AV$1)),H158,G158,J158,K158,L158,M158,D158,U158,"annual",5,IF(NOT($H158),TRUE,FALSE),curveName)*100,"")</f>
        <v>-45.16223183391341</v>
      </c>
      <c r="AM158" s="266">
        <f>(-IF($AL$9="",VLOOKUP(VLOOKUP(E158,'DB Basis'!$D$2:$H$65205,4,0),Bonds!$AR$1:$AS$6,2,0),$AL$9)*VLOOKUP(E158,'DB Basis'!$D$2:$E$65205,2,0))+IF(V158="",W158,V158)</f>
        <v>31.379429999999999</v>
      </c>
      <c r="AN158" s="274" t="str">
        <f>IF($AN$9+(($AL$9-$AM$9))*('DB Basis'!F318/10-'DB Basis'!E318),," ")</f>
        <v xml:space="preserve"> </v>
      </c>
      <c r="AO158" s="639">
        <f>IF(U158&gt;0,_xll.xlShmImplSwap2(curveName&amp;T(TYPE($AV$1)),curveName,D158,G158,,1,8,2,4),"")</f>
        <v>1.3157595898383187E-3</v>
      </c>
      <c r="AP158" s="640">
        <f t="shared" si="21"/>
        <v>-4.5994214301259048E-3</v>
      </c>
      <c r="AQ158" s="386">
        <f t="shared" si="22"/>
        <v>25.876744938138881</v>
      </c>
      <c r="AR158" s="386">
        <f t="shared" si="23"/>
        <v>6.0381693452079235</v>
      </c>
      <c r="AS158" s="388"/>
      <c r="AT158" s="242">
        <f t="shared" si="24"/>
        <v>-0.32386801712425511</v>
      </c>
      <c r="AU158" s="686" t="str">
        <f t="shared" si="19"/>
        <v>BUND  04-Sep-21  2.25</v>
      </c>
      <c r="AV158" s="702"/>
      <c r="AW158" s="684"/>
      <c r="AX158" s="684"/>
      <c r="AY158" s="684"/>
      <c r="AZ158" s="684"/>
      <c r="BA158" s="684"/>
      <c r="BB158" s="683"/>
      <c r="BC158" s="696"/>
      <c r="BE158" s="706">
        <f>_xll.xlDateShiftMonth(BE157,1)</f>
        <v>47662</v>
      </c>
      <c r="BF158" s="707">
        <v>2.1964573536770927E-2</v>
      </c>
      <c r="BU158" s="133" t="s">
        <v>599</v>
      </c>
      <c r="BV158" s="133" t="s">
        <v>599</v>
      </c>
      <c r="BW158" s="133" t="s">
        <v>599</v>
      </c>
      <c r="BX158" s="133" t="s">
        <v>599</v>
      </c>
      <c r="BY158" s="133" t="s">
        <v>599</v>
      </c>
      <c r="BZ158" s="133" t="s">
        <v>599</v>
      </c>
      <c r="CA158" s="133" t="s">
        <v>599</v>
      </c>
      <c r="CB158" s="133" t="s">
        <v>599</v>
      </c>
      <c r="CC158" s="133" t="s">
        <v>599</v>
      </c>
      <c r="CD158" s="133" t="s">
        <v>599</v>
      </c>
      <c r="CE158" s="133" t="s">
        <v>599</v>
      </c>
      <c r="CF158" s="133" t="s">
        <v>599</v>
      </c>
    </row>
    <row r="159" spans="1:84">
      <c r="A159" s="10"/>
      <c r="B159" s="11"/>
      <c r="C159" s="12"/>
      <c r="D159" s="720">
        <f>MAX(_xll.xlDateSettle("TARGET",$D$4,2),L159)</f>
        <v>43179</v>
      </c>
      <c r="E159" s="718" t="s">
        <v>879</v>
      </c>
      <c r="F159" s="13" t="s">
        <v>1413</v>
      </c>
      <c r="G159" s="35">
        <v>44477</v>
      </c>
      <c r="H159" s="37">
        <v>0</v>
      </c>
      <c r="I159" s="11">
        <v>44477</v>
      </c>
      <c r="J159" s="11">
        <v>42573</v>
      </c>
      <c r="K159" s="11">
        <v>43016</v>
      </c>
      <c r="L159" s="11">
        <v>42573</v>
      </c>
      <c r="M159" s="12">
        <v>102.71</v>
      </c>
      <c r="N159" s="12" t="s">
        <v>1456</v>
      </c>
      <c r="O159" s="12" t="s">
        <v>1178</v>
      </c>
      <c r="P159" s="12" t="s">
        <v>1457</v>
      </c>
      <c r="Q159" s="15">
        <v>19000000000</v>
      </c>
      <c r="R159" s="12"/>
      <c r="S159" s="43">
        <f>_xll.RtGet("IDN",$X159,$S$9)</f>
        <v>101.10900000000001</v>
      </c>
      <c r="T159" s="43">
        <f>_xll.RtGet("IDN",$X159,$T$9)</f>
        <v>101.139</v>
      </c>
      <c r="U159" s="25">
        <f t="shared" si="25"/>
        <v>101.124</v>
      </c>
      <c r="V159" s="12"/>
      <c r="W159" s="25">
        <f t="shared" si="26"/>
        <v>101.124</v>
      </c>
      <c r="X159" s="14" t="str">
        <f t="shared" si="20"/>
        <v>DE114174=</v>
      </c>
      <c r="Y159" s="14"/>
      <c r="Z159" s="14"/>
      <c r="AA159" s="14"/>
      <c r="AB159" s="14"/>
      <c r="AC159" s="14"/>
      <c r="AD159" s="34" t="str">
        <f>IF(ISNUMBER($D159),_xll.xlBondYield($F159,$H159,$G159,$J159,$K159,$L159,$M159,$D159,$W159,IF(NOT($H159),TRUE,FALSE)),"")</f>
        <v>Bond not alive on calculation date</v>
      </c>
      <c r="AE159" s="12"/>
      <c r="AF159" s="12"/>
      <c r="AG159" s="12"/>
      <c r="AH159" s="14"/>
      <c r="AI159" s="14"/>
      <c r="AJ159" s="14"/>
      <c r="AK159" s="246" t="str">
        <f>IF(ISNUMBER($D159),_xll.xlBondAswSpread($F159&amp;T(TYPE($AV$1)),$H159,$G159,$J159,$K159,$L159,$M159,$D159,$W159,IF(NOT($H159),TRUE,FALSE),curveName,curveName,,,2),"")</f>
        <v>Bond not alive on calculation date</v>
      </c>
      <c r="AL159" s="213" t="e">
        <f>IF($W159&gt;0,_xll.xlBondZSpread(F159&amp;T(TYPE($AV$1)),H159,G159,J159,K159,L159,M159,D159,U159,"annual",5,IF(NOT($H159),TRUE,FALSE),curveName)*100,"")</f>
        <v>#VALUE!</v>
      </c>
      <c r="AM159" s="266">
        <f>(-IF($AL$9="",VLOOKUP(VLOOKUP(E159,'DB Basis'!$D$2:$H$65205,4,0),Bonds!$AR$1:$AS$6,2,0),$AL$9)*VLOOKUP(E159,'DB Basis'!$D$2:$E$65205,2,0))+IF(V159="",W159,V159)</f>
        <v>25.474755000000002</v>
      </c>
      <c r="AN159" s="274" t="str">
        <f>IF($AN$9+(($AL$9-$AM$9))*('DB Basis'!F319/10-'DB Basis'!E319),," ")</f>
        <v xml:space="preserve"> </v>
      </c>
      <c r="AO159" s="639">
        <f>IF(U159&gt;0,_xll.xlShmImplSwap2(curveName&amp;T(TYPE($AV$1)),curveName,D159,G159,,1,8,2,4),"")</f>
        <v>1.4876957000599491E-3</v>
      </c>
      <c r="AP159" s="640" t="str">
        <f t="shared" si="21"/>
        <v>-</v>
      </c>
      <c r="AQ159" s="386" t="str">
        <f t="shared" si="22"/>
        <v>-</v>
      </c>
      <c r="AR159" s="386" t="str">
        <f t="shared" si="23"/>
        <v>-</v>
      </c>
      <c r="AS159" s="388"/>
      <c r="AT159" s="242" t="str">
        <f t="shared" si="24"/>
        <v>-</v>
      </c>
      <c r="AU159" s="686" t="str">
        <f t="shared" si="19"/>
        <v>BUND  08-Oct-21  0</v>
      </c>
      <c r="AV159" s="702"/>
      <c r="AW159" s="684"/>
      <c r="AX159" s="684"/>
      <c r="AY159" s="684"/>
      <c r="AZ159" s="684"/>
      <c r="BA159" s="684"/>
      <c r="BB159" s="683"/>
      <c r="BC159" s="696"/>
      <c r="BE159" s="706">
        <f>_xll.xlDateShiftMonth(BE158,1)</f>
        <v>47692</v>
      </c>
      <c r="BF159" s="707">
        <v>2.2045920404405072E-2</v>
      </c>
      <c r="BU159" s="133" t="s">
        <v>599</v>
      </c>
      <c r="BV159" s="133" t="s">
        <v>599</v>
      </c>
      <c r="BW159" s="133" t="s">
        <v>599</v>
      </c>
      <c r="BX159" s="133" t="s">
        <v>599</v>
      </c>
      <c r="BY159" s="133" t="s">
        <v>599</v>
      </c>
      <c r="BZ159" s="133" t="s">
        <v>599</v>
      </c>
      <c r="CA159" s="133" t="s">
        <v>599</v>
      </c>
      <c r="CB159" s="133" t="s">
        <v>599</v>
      </c>
      <c r="CC159" s="133" t="s">
        <v>599</v>
      </c>
      <c r="CD159" s="133" t="s">
        <v>599</v>
      </c>
      <c r="CE159" s="133" t="s">
        <v>599</v>
      </c>
      <c r="CF159" s="133" t="s">
        <v>599</v>
      </c>
    </row>
    <row r="160" spans="1:84">
      <c r="A160" s="10"/>
      <c r="B160" s="11"/>
      <c r="C160" s="12"/>
      <c r="D160" s="720">
        <f>MAX(_xll.xlDateSettle("TARGET",$D$4,2),L160)</f>
        <v>43179</v>
      </c>
      <c r="E160" s="718" t="s">
        <v>642</v>
      </c>
      <c r="F160" s="13" t="s">
        <v>1413</v>
      </c>
      <c r="G160" s="35">
        <v>44565</v>
      </c>
      <c r="H160" s="37">
        <v>2</v>
      </c>
      <c r="I160" s="11">
        <v>44565</v>
      </c>
      <c r="J160" s="11">
        <v>40872</v>
      </c>
      <c r="K160" s="11">
        <v>41278</v>
      </c>
      <c r="L160" s="11">
        <v>40872</v>
      </c>
      <c r="M160" s="12">
        <v>100.15</v>
      </c>
      <c r="N160" s="12" t="s">
        <v>1458</v>
      </c>
      <c r="O160" s="12" t="s">
        <v>1178</v>
      </c>
      <c r="P160" s="12" t="s">
        <v>1459</v>
      </c>
      <c r="Q160" s="15">
        <v>20000000000</v>
      </c>
      <c r="R160" s="12"/>
      <c r="S160" s="43">
        <f>_xll.RtGet("IDN",$X160,$S$9)</f>
        <v>108.68300000000001</v>
      </c>
      <c r="T160" s="43">
        <f>_xll.RtGet("IDN",$X160,$T$9)</f>
        <v>108.703</v>
      </c>
      <c r="U160" s="25">
        <f t="shared" si="25"/>
        <v>108.69300000000001</v>
      </c>
      <c r="V160" s="12"/>
      <c r="W160" s="25">
        <f t="shared" si="26"/>
        <v>108.69300000000001</v>
      </c>
      <c r="X160" s="14" t="str">
        <f t="shared" si="20"/>
        <v>DE113546=</v>
      </c>
      <c r="Y160" s="14"/>
      <c r="Z160" s="14"/>
      <c r="AA160" s="14"/>
      <c r="AB160" s="14"/>
      <c r="AC160" s="14"/>
      <c r="AD160" s="34">
        <f>IF(ISNUMBER($D160),_xll.xlBondYield($F160,$H160,$G160,$J160,$K160,$L160,$M160,$D160,$W160,IF(NOT($H160),TRUE,FALSE)),"")</f>
        <v>-2.7569535889777029E-3</v>
      </c>
      <c r="AE160" s="12"/>
      <c r="AF160" s="12"/>
      <c r="AG160" s="12"/>
      <c r="AH160" s="14"/>
      <c r="AI160" s="14"/>
      <c r="AJ160" s="14"/>
      <c r="AK160" s="246">
        <f>IF(ISNUMBER($D160),_xll.xlBondAswSpread($F160&amp;T(TYPE($AV$1)),$H160,$G160,$J160,$K160,$L160,$M160,$D160,$W160,IF(NOT($H160),TRUE,FALSE),curveName,curveName,,,2),"")</f>
        <v>-0.48028333402614581</v>
      </c>
      <c r="AL160" s="213">
        <f>IF($W160&gt;0,_xll.xlBondZSpread(F160&amp;T(TYPE($AV$1)),H160,G160,J160,K160,L160,M160,D160,U160,"annual",5,IF(NOT($H160),TRUE,FALSE),curveName)*100,"")</f>
        <v>-46.369411866710671</v>
      </c>
      <c r="AM160" s="266">
        <f>(-IF($AL$9="",VLOOKUP(VLOOKUP(E160,'DB Basis'!$D$2:$H$65205,4,0),Bonds!$AR$1:$AS$6,2,0),$AL$9)*VLOOKUP(E160,'DB Basis'!$D$2:$E$65205,2,0))+IF(V160="",W160,V160)</f>
        <v>24.289870000000008</v>
      </c>
      <c r="AN160" s="274" t="str">
        <f>IF($AN$9+(($AL$9-$AM$9))*('DB Basis'!F320/10-'DB Basis'!E320),," ")</f>
        <v xml:space="preserve"> </v>
      </c>
      <c r="AO160" s="639">
        <f>IF(U160&gt;0,_xll.xlShmImplSwap2(curveName&amp;T(TYPE($AV$1)),curveName,D160,G160,,1,8,2,4),"")</f>
        <v>1.9616838620408286E-3</v>
      </c>
      <c r="AP160" s="640">
        <f t="shared" si="21"/>
        <v>-4.718637451018531E-3</v>
      </c>
      <c r="AQ160" s="386" t="str">
        <f t="shared" si="22"/>
        <v>-</v>
      </c>
      <c r="AR160" s="386" t="str">
        <f t="shared" si="23"/>
        <v>-</v>
      </c>
      <c r="AS160" s="388"/>
      <c r="AT160" s="242">
        <f t="shared" si="24"/>
        <v>-0.27191871014574603</v>
      </c>
      <c r="AU160" s="686" t="str">
        <f t="shared" si="19"/>
        <v>BUND  04-Jan-22  2</v>
      </c>
      <c r="AV160" s="702"/>
      <c r="AW160" s="684"/>
      <c r="AX160" s="684"/>
      <c r="AY160" s="684"/>
      <c r="AZ160" s="684"/>
      <c r="BA160" s="684"/>
      <c r="BB160" s="683"/>
      <c r="BC160" s="696"/>
      <c r="BE160" s="706">
        <f>_xll.xlDateShiftMonth(BE159,1)</f>
        <v>47723</v>
      </c>
      <c r="BF160" s="707">
        <v>2.2129270752365055E-2</v>
      </c>
      <c r="BU160" s="133" t="s">
        <v>599</v>
      </c>
      <c r="BV160" s="133" t="s">
        <v>599</v>
      </c>
      <c r="BW160" s="133" t="s">
        <v>599</v>
      </c>
      <c r="BX160" s="133" t="s">
        <v>599</v>
      </c>
      <c r="BY160" s="133" t="s">
        <v>599</v>
      </c>
      <c r="BZ160" s="133" t="s">
        <v>599</v>
      </c>
      <c r="CA160" s="133" t="s">
        <v>599</v>
      </c>
      <c r="CB160" s="133" t="s">
        <v>599</v>
      </c>
      <c r="CC160" s="133" t="s">
        <v>599</v>
      </c>
      <c r="CD160" s="133" t="s">
        <v>599</v>
      </c>
      <c r="CE160" s="133" t="s">
        <v>599</v>
      </c>
      <c r="CF160" s="133" t="s">
        <v>599</v>
      </c>
    </row>
    <row r="161" spans="1:84">
      <c r="A161" s="10"/>
      <c r="B161" s="11"/>
      <c r="C161" s="12"/>
      <c r="D161" s="720">
        <f>MAX(_xll.xlDateSettle("TARGET",$D$4,2),L161)</f>
        <v>43179</v>
      </c>
      <c r="E161" s="718" t="s">
        <v>917</v>
      </c>
      <c r="F161" s="13" t="s">
        <v>1413</v>
      </c>
      <c r="G161" s="35">
        <v>44659</v>
      </c>
      <c r="H161" s="37">
        <v>0</v>
      </c>
      <c r="I161" s="11">
        <v>44659</v>
      </c>
      <c r="J161" s="11">
        <v>42769</v>
      </c>
      <c r="K161" s="11">
        <v>43198</v>
      </c>
      <c r="L161" s="11">
        <v>42769</v>
      </c>
      <c r="M161" s="12">
        <v>999</v>
      </c>
      <c r="N161" s="12" t="s">
        <v>1460</v>
      </c>
      <c r="O161" s="12" t="s">
        <v>1197</v>
      </c>
      <c r="P161" s="12" t="s">
        <v>1461</v>
      </c>
      <c r="Q161" s="15">
        <v>18000000000</v>
      </c>
      <c r="R161" s="12"/>
      <c r="S161" s="43">
        <f>_xll.RtGet("IDN",$X161,$S$9)</f>
        <v>100.905</v>
      </c>
      <c r="T161" s="43">
        <f>_xll.RtGet("IDN",$X161,$T$9)</f>
        <v>100.935</v>
      </c>
      <c r="U161" s="25">
        <f t="shared" si="25"/>
        <v>100.92</v>
      </c>
      <c r="V161" s="12"/>
      <c r="W161" s="25">
        <f t="shared" si="26"/>
        <v>100.92</v>
      </c>
      <c r="X161" s="14" t="str">
        <f t="shared" si="20"/>
        <v>DE114175=</v>
      </c>
      <c r="Y161" s="14"/>
      <c r="Z161" s="14"/>
      <c r="AA161" s="14"/>
      <c r="AB161" s="14"/>
      <c r="AC161" s="14"/>
      <c r="AD161" s="34" t="str">
        <f>IF(ISNUMBER($D161),_xll.xlBondYield($F161,$H161,$G161,$J161,$K161,$L161,$M161,$D161,$W161,IF(NOT($H161),TRUE,FALSE)),"")</f>
        <v>Bond not alive on calculation date</v>
      </c>
      <c r="AE161" s="12"/>
      <c r="AF161" s="12"/>
      <c r="AG161" s="12"/>
      <c r="AH161" s="14"/>
      <c r="AI161" s="14"/>
      <c r="AJ161" s="14"/>
      <c r="AK161" s="246" t="str">
        <f>IF(ISNUMBER($D161),_xll.xlBondAswSpread($F161&amp;T(TYPE($AV$1)),$H161,$G161,$J161,$K161,$L161,$M161,$D161,$W161,IF(NOT($H161),TRUE,FALSE),curveName,curveName,,,2),"")</f>
        <v>Bond not alive on calculation date</v>
      </c>
      <c r="AL161" s="213" t="e">
        <f>IF($W161&gt;0,_xll.xlBondZSpread(F161&amp;T(TYPE($AV$1)),H161,G161,J161,K161,L161,M161,D161,U161,"annual",5,IF(NOT($H161),TRUE,FALSE),curveName)*100,"")</f>
        <v>#VALUE!</v>
      </c>
      <c r="AM161" s="266">
        <f>(-IF($AL$9="",VLOOKUP(VLOOKUP(E161,'DB Basis'!$D$2:$H$65205,4,0),Bonds!$AR$1:$AS$6,2,0),$AL$9)*VLOOKUP(E161,'DB Basis'!$D$2:$E$65205,2,0))+IF(V161="",W161,V161)</f>
        <v>15.210319999999996</v>
      </c>
      <c r="AN161" s="274" t="str">
        <f>IF($AN$9+(($AL$9-$AM$9))*('DB Basis'!F321/10-'DB Basis'!E321),," ")</f>
        <v xml:space="preserve"> </v>
      </c>
      <c r="AO161" s="639">
        <f>IF(U161&gt;0,_xll.xlShmImplSwap2(curveName&amp;T(TYPE($AV$1)),curveName,D161,G161,,1,8,2,4),"")</f>
        <v>2.4518042312465598E-3</v>
      </c>
      <c r="AP161" s="640" t="str">
        <f t="shared" si="21"/>
        <v>-</v>
      </c>
      <c r="AQ161" s="386" t="str">
        <f t="shared" si="22"/>
        <v>-</v>
      </c>
      <c r="AR161" s="386" t="str">
        <f t="shared" si="23"/>
        <v>-</v>
      </c>
      <c r="AS161" s="388"/>
      <c r="AT161" s="242" t="str">
        <f t="shared" si="24"/>
        <v>-</v>
      </c>
      <c r="AU161" s="686" t="str">
        <f t="shared" si="19"/>
        <v>BUND  08-Apr-22  0</v>
      </c>
      <c r="AV161" s="702"/>
      <c r="AW161" s="684"/>
      <c r="AX161" s="684"/>
      <c r="AY161" s="684"/>
      <c r="AZ161" s="684"/>
      <c r="BA161" s="684"/>
      <c r="BB161" s="683"/>
      <c r="BC161" s="696"/>
      <c r="BE161" s="706">
        <f>_xll.xlDateShiftMonth(BE160,1)</f>
        <v>47754</v>
      </c>
      <c r="BF161" s="707">
        <v>2.2211893202399781E-2</v>
      </c>
      <c r="BU161" s="133" t="s">
        <v>599</v>
      </c>
      <c r="BV161" s="133" t="s">
        <v>599</v>
      </c>
      <c r="BW161" s="133" t="s">
        <v>599</v>
      </c>
      <c r="BX161" s="133" t="s">
        <v>599</v>
      </c>
      <c r="BY161" s="133" t="s">
        <v>599</v>
      </c>
      <c r="BZ161" s="133" t="s">
        <v>599</v>
      </c>
      <c r="CA161" s="133" t="s">
        <v>599</v>
      </c>
      <c r="CB161" s="133" t="s">
        <v>599</v>
      </c>
      <c r="CC161" s="133" t="s">
        <v>599</v>
      </c>
      <c r="CD161" s="133" t="s">
        <v>599</v>
      </c>
      <c r="CE161" s="133" t="s">
        <v>599</v>
      </c>
      <c r="CF161" s="133" t="s">
        <v>599</v>
      </c>
    </row>
    <row r="162" spans="1:84">
      <c r="A162" s="10"/>
      <c r="B162" s="11"/>
      <c r="C162" s="12"/>
      <c r="D162" s="720">
        <f>MAX(_xll.xlDateSettle("TARGET",$D$4,2),L162)</f>
        <v>43179</v>
      </c>
      <c r="E162" s="718" t="s">
        <v>643</v>
      </c>
      <c r="F162" s="13" t="s">
        <v>1413</v>
      </c>
      <c r="G162" s="35">
        <v>44746</v>
      </c>
      <c r="H162" s="37">
        <v>1.75</v>
      </c>
      <c r="I162" s="11">
        <v>44746</v>
      </c>
      <c r="J162" s="11">
        <v>41012</v>
      </c>
      <c r="K162" s="11">
        <v>41459</v>
      </c>
      <c r="L162" s="11">
        <v>41012</v>
      </c>
      <c r="M162" s="12">
        <v>99.77</v>
      </c>
      <c r="N162" s="12" t="s">
        <v>1462</v>
      </c>
      <c r="O162" s="12" t="s">
        <v>1178</v>
      </c>
      <c r="P162" s="12" t="s">
        <v>1463</v>
      </c>
      <c r="Q162" s="15">
        <v>24000000000</v>
      </c>
      <c r="R162" s="12"/>
      <c r="S162" s="43">
        <f>_xll.RtGet("IDN",$X162,$S$9)</f>
        <v>108.41800000000001</v>
      </c>
      <c r="T162" s="43">
        <f>_xll.RtGet("IDN",$X162,$T$9)</f>
        <v>108.438</v>
      </c>
      <c r="U162" s="25">
        <f t="shared" si="25"/>
        <v>108.428</v>
      </c>
      <c r="V162" s="12"/>
      <c r="W162" s="25">
        <f t="shared" si="26"/>
        <v>108.428</v>
      </c>
      <c r="X162" s="14" t="str">
        <f t="shared" si="20"/>
        <v>DE113547=</v>
      </c>
      <c r="Y162" s="14"/>
      <c r="Z162" s="14"/>
      <c r="AA162" s="14"/>
      <c r="AB162" s="14"/>
      <c r="AC162" s="14"/>
      <c r="AD162" s="34">
        <f>IF(ISNUMBER($D162),_xll.xlBondYield($F162,$H162,$G162,$J162,$K162,$L162,$M162,$D162,$W162,IF(NOT($H162),TRUE,FALSE)),"")</f>
        <v>-2.0372144036903822E-3</v>
      </c>
      <c r="AE162" s="12"/>
      <c r="AF162" s="12"/>
      <c r="AG162" s="12"/>
      <c r="AH162" s="14"/>
      <c r="AI162" s="14"/>
      <c r="AJ162" s="14"/>
      <c r="AK162" s="246">
        <f>IF(ISNUMBER($D162),_xll.xlBondAswSpread($F162&amp;T(TYPE($AV$1)),$H162,$G162,$J162,$K162,$L162,$M162,$D162,$W162,IF(NOT($H162),TRUE,FALSE),curveName,curveName,,,2),"")</f>
        <v>-0.49773371854458842</v>
      </c>
      <c r="AL162" s="213">
        <f>IF($W162&gt;0,_xll.xlBondZSpread(F162&amp;T(TYPE($AV$1)),H162,G162,J162,K162,L162,M162,D162,U162,"annual",5,IF(NOT($H162),TRUE,FALSE),curveName)*100,"")</f>
        <v>-48.257352131373061</v>
      </c>
      <c r="AM162" s="266">
        <f>(-IF($AL$9="",VLOOKUP(VLOOKUP(E162,'DB Basis'!$D$2:$H$65205,4,0),Bonds!$AR$1:$AS$6,2,0),$AL$9)*VLOOKUP(E162,'DB Basis'!$D$2:$E$65205,2,0))+IF(V162="",W162,V162)</f>
        <v>13.572469999999996</v>
      </c>
      <c r="AN162" s="274" t="str">
        <f>IF($AN$9+(($AL$9-$AM$9))*('DB Basis'!F322/10-'DB Basis'!E322),," ")</f>
        <v xml:space="preserve"> </v>
      </c>
      <c r="AO162" s="639">
        <f>IF(U162&gt;0,_xll.xlShmImplSwap2(curveName&amp;T(TYPE($AV$1)),curveName,D162,G162,,1,8,2,4),"")</f>
        <v>2.8739911769360606E-3</v>
      </c>
      <c r="AP162" s="640">
        <f t="shared" si="21"/>
        <v>-4.9112055806264428E-3</v>
      </c>
      <c r="AQ162" s="386" t="str">
        <f t="shared" si="22"/>
        <v>-</v>
      </c>
      <c r="AR162" s="386" t="str">
        <f t="shared" si="23"/>
        <v>-</v>
      </c>
      <c r="AS162" s="388"/>
      <c r="AT162" s="242">
        <f t="shared" si="24"/>
        <v>-0.20093073570644865</v>
      </c>
      <c r="AU162" s="686" t="str">
        <f t="shared" si="19"/>
        <v>BUND  04-Jul-22  1.75</v>
      </c>
      <c r="AV162" s="702"/>
      <c r="AW162" s="684"/>
      <c r="AX162" s="684"/>
      <c r="AY162" s="684"/>
      <c r="AZ162" s="684"/>
      <c r="BA162" s="684"/>
      <c r="BB162" s="683"/>
      <c r="BC162" s="696"/>
      <c r="BE162" s="706">
        <f>_xll.xlDateShiftMonth(BE161,1)</f>
        <v>47784</v>
      </c>
      <c r="BF162" s="707">
        <v>2.2291149541133065E-2</v>
      </c>
      <c r="BU162" s="133" t="s">
        <v>599</v>
      </c>
      <c r="BV162" s="133" t="s">
        <v>599</v>
      </c>
      <c r="BW162" s="133" t="s">
        <v>599</v>
      </c>
      <c r="BX162" s="133" t="s">
        <v>599</v>
      </c>
      <c r="BY162" s="133" t="s">
        <v>599</v>
      </c>
      <c r="BZ162" s="133" t="s">
        <v>599</v>
      </c>
      <c r="CA162" s="133" t="s">
        <v>599</v>
      </c>
      <c r="CB162" s="133" t="s">
        <v>599</v>
      </c>
      <c r="CC162" s="133" t="s">
        <v>599</v>
      </c>
      <c r="CD162" s="133" t="s">
        <v>599</v>
      </c>
      <c r="CE162" s="133" t="s">
        <v>599</v>
      </c>
      <c r="CF162" s="133" t="s">
        <v>599</v>
      </c>
    </row>
    <row r="163" spans="1:84">
      <c r="A163" s="10"/>
      <c r="B163" s="11"/>
      <c r="C163" s="12"/>
      <c r="D163" s="720">
        <f>MAX(_xll.xlDateSettle("TARGET",$D$4,2),L163)</f>
        <v>43179</v>
      </c>
      <c r="E163" s="718" t="s">
        <v>644</v>
      </c>
      <c r="F163" s="13" t="s">
        <v>1413</v>
      </c>
      <c r="G163" s="35">
        <v>44808</v>
      </c>
      <c r="H163" s="37">
        <v>1.5</v>
      </c>
      <c r="I163" s="11">
        <v>44808</v>
      </c>
      <c r="J163" s="11">
        <v>41156</v>
      </c>
      <c r="K163" s="11">
        <v>41521</v>
      </c>
      <c r="L163" s="11">
        <v>41159</v>
      </c>
      <c r="M163" s="12">
        <v>100.76</v>
      </c>
      <c r="N163" s="12" t="s">
        <v>1464</v>
      </c>
      <c r="O163" s="12" t="s">
        <v>1178</v>
      </c>
      <c r="P163" s="12" t="s">
        <v>1465</v>
      </c>
      <c r="Q163" s="15">
        <v>18000000000</v>
      </c>
      <c r="R163" s="12"/>
      <c r="S163" s="43">
        <f>_xll.RtGet("IDN",$X163,$S$9)</f>
        <v>107.492</v>
      </c>
      <c r="T163" s="43">
        <f>_xll.RtGet("IDN",$X163,$T$9)</f>
        <v>107.517</v>
      </c>
      <c r="U163" s="25">
        <f t="shared" si="25"/>
        <v>107.50450000000001</v>
      </c>
      <c r="V163" s="12"/>
      <c r="W163" s="25">
        <f t="shared" si="26"/>
        <v>107.50450000000001</v>
      </c>
      <c r="X163" s="14" t="str">
        <f t="shared" si="20"/>
        <v>DE113549=</v>
      </c>
      <c r="Y163" s="14"/>
      <c r="Z163" s="14"/>
      <c r="AA163" s="14"/>
      <c r="AB163" s="14"/>
      <c r="AC163" s="14"/>
      <c r="AD163" s="34">
        <f>IF(ISNUMBER($D163),_xll.xlBondYield($F163,$H163,$G163,$J163,$K163,$L163,$M163,$D163,$W163,IF(NOT($H163),TRUE,FALSE)),"")</f>
        <v>-1.7444241789968031E-3</v>
      </c>
      <c r="AE163" s="12"/>
      <c r="AF163" s="12"/>
      <c r="AG163" s="12"/>
      <c r="AH163" s="14"/>
      <c r="AI163" s="14"/>
      <c r="AJ163" s="14"/>
      <c r="AK163" s="246">
        <f>IF(ISNUMBER($D163),_xll.xlBondAswSpread($F163&amp;T(TYPE($AV$1)),$H163,$G163,$J163,$K163,$L163,$M163,$D163,$W163,IF(NOT($H163),TRUE,FALSE),curveName,curveName,,,2),"")</f>
        <v>-0.49725725486316708</v>
      </c>
      <c r="AL163" s="213">
        <f>IF($W163&gt;0,_xll.xlBondZSpread(F163&amp;T(TYPE($AV$1)),H163,G163,J163,K163,L163,M163,D163,U163,"annual",5,IF(NOT($H163),TRUE,FALSE),curveName)*100,"")</f>
        <v>-48.465900342279213</v>
      </c>
      <c r="AM163" s="266">
        <f>(-IF($AL$9="",VLOOKUP(VLOOKUP(E163,'DB Basis'!$D$2:$H$65205,4,0),Bonds!$AR$1:$AS$6,2,0),$AL$9)*VLOOKUP(E163,'DB Basis'!$D$2:$E$65205,2,0))+IF(V163="",W163,V163)</f>
        <v>9.6439050000000037</v>
      </c>
      <c r="AN163" s="274" t="str">
        <f>IF($AN$9+(($AL$9-$AM$9))*('DB Basis'!F323/10-'DB Basis'!E323),," ")</f>
        <v xml:space="preserve"> </v>
      </c>
      <c r="AO163" s="639">
        <f>IF(U163&gt;0,_xll.xlShmImplSwap2(curveName&amp;T(TYPE($AV$1)),curveName,D163,G163,,1,8,2,4),"")</f>
        <v>3.1808059163125802E-3</v>
      </c>
      <c r="AP163" s="640">
        <f t="shared" si="21"/>
        <v>-4.9252300953093828E-3</v>
      </c>
      <c r="AQ163" s="386">
        <f t="shared" si="22"/>
        <v>17.236843873089736</v>
      </c>
      <c r="AR163" s="386">
        <f t="shared" si="23"/>
        <v>-0.82563675149566129</v>
      </c>
      <c r="AS163" s="388"/>
      <c r="AT163" s="242">
        <f t="shared" si="24"/>
        <v>-0.17205279573667098</v>
      </c>
      <c r="AU163" s="686" t="str">
        <f t="shared" si="19"/>
        <v>BUND  04-Sep-22  1.5</v>
      </c>
      <c r="AV163" s="702"/>
      <c r="AW163" s="684"/>
      <c r="AX163" s="684"/>
      <c r="AY163" s="684"/>
      <c r="AZ163" s="684"/>
      <c r="BA163" s="684"/>
      <c r="BB163" s="683"/>
      <c r="BC163" s="696"/>
      <c r="BE163" s="706">
        <f>_xll.xlDateShiftMonth(BE162,1)</f>
        <v>47815</v>
      </c>
      <c r="BF163" s="707">
        <v>2.2372315448772953E-2</v>
      </c>
      <c r="BU163" s="133" t="s">
        <v>599</v>
      </c>
      <c r="BV163" s="133" t="s">
        <v>599</v>
      </c>
      <c r="BW163" s="133" t="s">
        <v>599</v>
      </c>
      <c r="BX163" s="133" t="s">
        <v>599</v>
      </c>
      <c r="BY163" s="133" t="s">
        <v>599</v>
      </c>
      <c r="BZ163" s="133" t="s">
        <v>599</v>
      </c>
      <c r="CA163" s="133" t="s">
        <v>599</v>
      </c>
      <c r="CB163" s="133" t="s">
        <v>599</v>
      </c>
      <c r="CC163" s="133" t="s">
        <v>599</v>
      </c>
      <c r="CD163" s="133" t="s">
        <v>599</v>
      </c>
      <c r="CE163" s="133" t="s">
        <v>599</v>
      </c>
      <c r="CF163" s="133" t="s">
        <v>599</v>
      </c>
    </row>
    <row r="164" spans="1:84">
      <c r="A164" s="10"/>
      <c r="B164" s="11"/>
      <c r="C164" s="12"/>
      <c r="D164" s="720">
        <f>MAX(_xll.xlDateSettle("TARGET",$D$4,2),L164)</f>
        <v>43179</v>
      </c>
      <c r="E164" s="718" t="s">
        <v>989</v>
      </c>
      <c r="F164" s="13" t="s">
        <v>1413</v>
      </c>
      <c r="G164" s="35">
        <v>44841</v>
      </c>
      <c r="H164" s="37">
        <v>0</v>
      </c>
      <c r="I164" s="11">
        <v>44841</v>
      </c>
      <c r="J164" s="11">
        <v>42923</v>
      </c>
      <c r="K164" s="11">
        <v>43380</v>
      </c>
      <c r="L164" s="11">
        <v>42923</v>
      </c>
      <c r="M164" s="12">
        <v>100.75</v>
      </c>
      <c r="N164" s="12" t="s">
        <v>1466</v>
      </c>
      <c r="O164" s="12" t="s">
        <v>1178</v>
      </c>
      <c r="P164" s="12" t="s">
        <v>1467</v>
      </c>
      <c r="Q164" s="15">
        <v>17000000000</v>
      </c>
      <c r="R164" s="12"/>
      <c r="S164" s="43">
        <f>_xll.RtGet("IDN",$X164,$S$9)</f>
        <v>100.62</v>
      </c>
      <c r="T164" s="43">
        <f>_xll.RtGet("IDN",$X164,$T$9)</f>
        <v>100.63</v>
      </c>
      <c r="U164" s="25">
        <f t="shared" si="25"/>
        <v>100.625</v>
      </c>
      <c r="V164" s="12"/>
      <c r="W164" s="25">
        <f t="shared" si="26"/>
        <v>100.625</v>
      </c>
      <c r="X164" s="14" t="str">
        <f t="shared" si="20"/>
        <v>DE114176=</v>
      </c>
      <c r="Y164" s="14"/>
      <c r="Z164" s="14"/>
      <c r="AA164" s="14"/>
      <c r="AB164" s="14"/>
      <c r="AC164" s="14"/>
      <c r="AD164" s="34" t="str">
        <f>IF(ISNUMBER($D164),_xll.xlBondYield($F164,$H164,$G164,$J164,$K164,$L164,$M164,$D164,$W164,IF(NOT($H164),TRUE,FALSE)),"")</f>
        <v>Bond not alive on calculation date</v>
      </c>
      <c r="AE164" s="12"/>
      <c r="AF164" s="12"/>
      <c r="AG164" s="12"/>
      <c r="AH164" s="14"/>
      <c r="AI164" s="14"/>
      <c r="AJ164" s="14"/>
      <c r="AK164" s="246" t="str">
        <f>IF(ISNUMBER($D164),_xll.xlBondAswSpread($F164&amp;T(TYPE($AV$1)),$H164,$G164,$J164,$K164,$L164,$M164,$D164,$W164,IF(NOT($H164),TRUE,FALSE),curveName,curveName,,,2),"")</f>
        <v>Bond not alive on calculation date</v>
      </c>
      <c r="AL164" s="213" t="e">
        <f>IF($W164&gt;0,_xll.xlBondZSpread(F164&amp;T(TYPE($AV$1)),H164,G164,J164,K164,L164,M164,D164,U164,"annual",5,IF(NOT($H164),TRUE,FALSE),curveName)*100,"")</f>
        <v>#VALUE!</v>
      </c>
      <c r="AM164" s="266">
        <f>(-IF($AL$9="",VLOOKUP(VLOOKUP(E164,'DB Basis'!$D$2:$H$65205,4,0),Bonds!$AR$1:$AS$6,2,0),$AL$9)*VLOOKUP(E164,'DB Basis'!$D$2:$E$65205,2,0))+IF(V164="",W164,V164)</f>
        <v>5.1161950000000047</v>
      </c>
      <c r="AN164" s="274" t="str">
        <f>IF($AN$9+(($AL$9-$AM$9))*('DB Basis'!F324/10-'DB Basis'!E324),," ")</f>
        <v xml:space="preserve"> </v>
      </c>
      <c r="AO164" s="639">
        <f>IF(U164&gt;0,_xll.xlShmImplSwap2(curveName&amp;T(TYPE($AV$1)),curveName,D164,G164,,1,8,2,4),"")</f>
        <v>3.3343720184277146E-3</v>
      </c>
      <c r="AP164" s="640" t="str">
        <f t="shared" si="21"/>
        <v>-</v>
      </c>
      <c r="AQ164" s="386" t="str">
        <f t="shared" si="22"/>
        <v>-</v>
      </c>
      <c r="AR164" s="386" t="str">
        <f t="shared" si="23"/>
        <v>-</v>
      </c>
      <c r="AS164" s="388"/>
      <c r="AT164" s="242" t="str">
        <f t="shared" si="24"/>
        <v>-</v>
      </c>
      <c r="AU164" s="686" t="str">
        <f t="shared" si="19"/>
        <v>BUND  07-Oct-22  0</v>
      </c>
      <c r="AV164" s="702"/>
      <c r="AW164" s="684"/>
      <c r="AX164" s="684"/>
      <c r="AY164" s="684"/>
      <c r="AZ164" s="684"/>
      <c r="BA164" s="684"/>
      <c r="BB164" s="683"/>
      <c r="BC164" s="696"/>
      <c r="BE164" s="706">
        <f>_xll.xlDateShiftMonth(BE163,1)</f>
        <v>47845</v>
      </c>
      <c r="BF164" s="707">
        <v>2.2450146684896137E-2</v>
      </c>
      <c r="BU164" s="133" t="s">
        <v>599</v>
      </c>
      <c r="BV164" s="133" t="s">
        <v>599</v>
      </c>
      <c r="BW164" s="133" t="s">
        <v>599</v>
      </c>
      <c r="BX164" s="133" t="s">
        <v>599</v>
      </c>
      <c r="BY164" s="133" t="s">
        <v>599</v>
      </c>
      <c r="BZ164" s="133" t="s">
        <v>599</v>
      </c>
      <c r="CA164" s="133" t="s">
        <v>599</v>
      </c>
      <c r="CB164" s="133" t="s">
        <v>599</v>
      </c>
      <c r="CC164" s="133" t="s">
        <v>599</v>
      </c>
      <c r="CD164" s="133" t="s">
        <v>599</v>
      </c>
      <c r="CE164" s="133" t="s">
        <v>599</v>
      </c>
      <c r="CF164" s="133" t="s">
        <v>599</v>
      </c>
    </row>
    <row r="165" spans="1:84">
      <c r="A165" s="10"/>
      <c r="B165" s="11"/>
      <c r="C165" s="12"/>
      <c r="D165" s="720">
        <f>MAX(_xll.xlDateSettle("TARGET",$D$4,2),L165)</f>
        <v>43179</v>
      </c>
      <c r="E165" s="718" t="s">
        <v>645</v>
      </c>
      <c r="F165" s="13" t="s">
        <v>1413</v>
      </c>
      <c r="G165" s="35">
        <v>44972</v>
      </c>
      <c r="H165" s="37">
        <v>1.5</v>
      </c>
      <c r="I165" s="11">
        <v>44972</v>
      </c>
      <c r="J165" s="11">
        <v>41292</v>
      </c>
      <c r="K165" s="11">
        <v>41685</v>
      </c>
      <c r="L165" s="11">
        <v>41292</v>
      </c>
      <c r="M165" s="12">
        <v>99.41</v>
      </c>
      <c r="N165" s="12" t="s">
        <v>1468</v>
      </c>
      <c r="O165" s="12" t="s">
        <v>1178</v>
      </c>
      <c r="P165" s="12" t="s">
        <v>1469</v>
      </c>
      <c r="Q165" s="15">
        <v>18000000000</v>
      </c>
      <c r="R165" s="12"/>
      <c r="S165" s="43">
        <f>_xll.RtGet("IDN",$X165,$S$9)</f>
        <v>107.809</v>
      </c>
      <c r="T165" s="43">
        <f>_xll.RtGet("IDN",$X165,$T$9)</f>
        <v>107.82900000000001</v>
      </c>
      <c r="U165" s="25">
        <f t="shared" si="25"/>
        <v>107.819</v>
      </c>
      <c r="V165" s="12"/>
      <c r="W165" s="25">
        <f t="shared" si="26"/>
        <v>107.819</v>
      </c>
      <c r="X165" s="14" t="str">
        <f t="shared" si="20"/>
        <v>DE110230=</v>
      </c>
      <c r="Y165" s="14"/>
      <c r="Z165" s="14"/>
      <c r="AA165" s="14"/>
      <c r="AB165" s="14"/>
      <c r="AC165" s="14"/>
      <c r="AD165" s="34">
        <f>IF(ISNUMBER($D165),_xll.xlBondYield($F165,$H165,$G165,$J165,$K165,$L165,$M165,$D165,$W165,IF(NOT($H165),TRUE,FALSE)),"")</f>
        <v>-8.8427737425216327E-4</v>
      </c>
      <c r="AE165" s="12"/>
      <c r="AF165" s="12"/>
      <c r="AG165" s="12"/>
      <c r="AH165" s="14"/>
      <c r="AI165" s="14"/>
      <c r="AJ165" s="14"/>
      <c r="AK165" s="246">
        <f>IF(ISNUMBER($D165),_xll.xlBondAswSpread($F165&amp;T(TYPE($AV$1)),$H165,$G165,$J165,$K165,$L165,$M165,$D165,$W165,IF(NOT($H165),TRUE,FALSE),curveName,curveName,,,2),"")</f>
        <v>-0.48863880629546474</v>
      </c>
      <c r="AL165" s="213">
        <f>IF($W165&gt;0,_xll.xlBondZSpread(F165&amp;T(TYPE($AV$1)),H165,G165,J165,K165,L165,M165,D165,U165,"annual",5,IF(NOT($H165),TRUE,FALSE),curveName)*100,"")</f>
        <v>-47.698598590837008</v>
      </c>
      <c r="AM165" s="266">
        <f>(-IF($AL$9="",VLOOKUP(VLOOKUP(E165,'DB Basis'!$D$2:$H$65205,4,0),Bonds!$AR$1:$AS$6,2,0),$AL$9)*VLOOKUP(E165,'DB Basis'!$D$2:$E$65205,2,0))+IF(V165="",W165,V165)</f>
        <v>0.57424027999999794</v>
      </c>
      <c r="AN165" s="274" t="str">
        <f>IF($AN$9+(($AL$9-$AM$9))*('DB Basis'!F325/10-'DB Basis'!E325),," ")</f>
        <v xml:space="preserve"> </v>
      </c>
      <c r="AO165" s="639">
        <f>IF(U165&gt;0,_xll.xlShmImplSwap2(curveName&amp;T(TYPE($AV$1)),curveName,D165,G165,,1,8,2,4),"")</f>
        <v>3.9703920154859993E-3</v>
      </c>
      <c r="AP165" s="640">
        <f t="shared" si="21"/>
        <v>-4.8546693897381626E-3</v>
      </c>
      <c r="AQ165" s="386" t="str">
        <f t="shared" si="22"/>
        <v>-</v>
      </c>
      <c r="AR165" s="386" t="str">
        <f t="shared" si="23"/>
        <v>-</v>
      </c>
      <c r="AS165" s="388"/>
      <c r="AT165" s="242">
        <f t="shared" si="24"/>
        <v>-8.7216398556377736E-2</v>
      </c>
      <c r="AU165" s="686" t="str">
        <f t="shared" si="19"/>
        <v>BUND  15-Feb-23  1.5</v>
      </c>
      <c r="AV165" s="702"/>
      <c r="AW165" s="684"/>
      <c r="AX165" s="684"/>
      <c r="AY165" s="684"/>
      <c r="AZ165" s="684"/>
      <c r="BA165" s="684"/>
      <c r="BB165" s="683"/>
      <c r="BC165" s="696"/>
      <c r="BE165" s="706">
        <f>_xll.xlDateShiftMonth(BE164,1)</f>
        <v>47876</v>
      </c>
      <c r="BF165" s="707">
        <v>2.2529823922869983E-2</v>
      </c>
      <c r="BU165" s="133" t="s">
        <v>599</v>
      </c>
      <c r="BV165" s="133" t="s">
        <v>599</v>
      </c>
      <c r="BW165" s="133" t="s">
        <v>599</v>
      </c>
      <c r="BX165" s="133" t="s">
        <v>599</v>
      </c>
      <c r="BY165" s="133" t="s">
        <v>599</v>
      </c>
      <c r="BZ165" s="133" t="s">
        <v>599</v>
      </c>
      <c r="CA165" s="133" t="s">
        <v>599</v>
      </c>
      <c r="CB165" s="133" t="s">
        <v>599</v>
      </c>
      <c r="CC165" s="133" t="s">
        <v>599</v>
      </c>
      <c r="CD165" s="133" t="s">
        <v>599</v>
      </c>
      <c r="CE165" s="133" t="s">
        <v>599</v>
      </c>
      <c r="CF165" s="133" t="s">
        <v>599</v>
      </c>
    </row>
    <row r="166" spans="1:84">
      <c r="A166" s="10"/>
      <c r="B166" s="11"/>
      <c r="C166" s="12"/>
      <c r="D166" s="720">
        <f>MAX(_xll.xlDateSettle("TARGET",$D$4,2),L166)</f>
        <v>43179</v>
      </c>
      <c r="E166" s="718" t="s">
        <v>1720</v>
      </c>
      <c r="F166" s="13" t="s">
        <v>1413</v>
      </c>
      <c r="G166" s="35">
        <v>45030</v>
      </c>
      <c r="H166" s="37">
        <v>0</v>
      </c>
      <c r="I166" s="11">
        <v>45030</v>
      </c>
      <c r="J166" s="11">
        <v>43133</v>
      </c>
      <c r="K166" s="11">
        <v>43569</v>
      </c>
      <c r="L166" s="11">
        <v>43133</v>
      </c>
      <c r="M166" s="12">
        <v>99.6</v>
      </c>
      <c r="N166" s="12" t="s">
        <v>1721</v>
      </c>
      <c r="O166" s="12" t="s">
        <v>1197</v>
      </c>
      <c r="P166" s="12" t="s">
        <v>1722</v>
      </c>
      <c r="Q166" s="15">
        <v>8000000000</v>
      </c>
      <c r="R166" s="12"/>
      <c r="S166" s="43">
        <f>_xll.RtGet("IDN",$X166,$S$9)</f>
        <v>100.15</v>
      </c>
      <c r="T166" s="43">
        <f>_xll.RtGet("IDN",$X166,$T$9)</f>
        <v>100.18</v>
      </c>
      <c r="U166" s="25">
        <f t="shared" si="25"/>
        <v>100.16500000000001</v>
      </c>
      <c r="V166" s="12"/>
      <c r="W166" s="25">
        <f t="shared" si="26"/>
        <v>100.16500000000001</v>
      </c>
      <c r="X166" s="14" t="str">
        <f t="shared" si="20"/>
        <v>DE114177=</v>
      </c>
      <c r="Y166" s="14"/>
      <c r="Z166" s="14"/>
      <c r="AA166" s="14"/>
      <c r="AB166" s="14"/>
      <c r="AC166" s="14"/>
      <c r="AD166" s="34" t="str">
        <f>IF(ISNUMBER($D166),_xll.xlBondYield($F166,$H166,$G166,$J166,$K166,$L166,$M166,$D166,$W166,IF(NOT($H166),TRUE,FALSE)),"")</f>
        <v>Bond not alive on calculation date</v>
      </c>
      <c r="AE166" s="12"/>
      <c r="AF166" s="12"/>
      <c r="AG166" s="12"/>
      <c r="AH166" s="14"/>
      <c r="AI166" s="14"/>
      <c r="AJ166" s="14"/>
      <c r="AK166" s="246" t="str">
        <f>IF(ISNUMBER($D166),_xll.xlBondAswSpread($F166&amp;T(TYPE($AV$1)),$H166,$G166,$J166,$K166,$L166,$M166,$D166,$W166,IF(NOT($H166),TRUE,FALSE),curveName,curveName,,,2),"")</f>
        <v>Bond not alive on calculation date</v>
      </c>
      <c r="AL166" s="213" t="e">
        <f>IF($W166&gt;0,_xll.xlBondZSpread(F166&amp;T(TYPE($AV$1)),H166,G166,J166,K166,L166,M166,D166,U166,"annual",5,IF(NOT($H166),TRUE,FALSE),curveName)*100,"")</f>
        <v>#VALUE!</v>
      </c>
      <c r="AM166" s="266">
        <f>(-IF($AL$9="",VLOOKUP(VLOOKUP(E166,'DB Basis'!$D$2:$H$65205,4,0),Bonds!$AR$1:$AS$6,2,0),$AL$9)*VLOOKUP(E166,'DB Basis'!$D$2:$E$65205,2,0))+IF(V166="",W166,V166)</f>
        <v>1.6238231049999996</v>
      </c>
      <c r="AN166" s="274" t="str">
        <f>IF($AN$9+(($AL$9-$AM$9))*('DB Basis'!F326/10-'DB Basis'!E326),," ")</f>
        <v xml:space="preserve"> </v>
      </c>
      <c r="AO166" s="639">
        <f>IF(U166&gt;0,_xll.xlShmImplSwap2(curveName&amp;T(TYPE($AV$1)),curveName,D166,G166,,1,8,2,4),"")</f>
        <v>4.2293200752153695E-3</v>
      </c>
      <c r="AP166" s="640" t="str">
        <f t="shared" si="21"/>
        <v>-</v>
      </c>
      <c r="AQ166" s="386" t="str">
        <f t="shared" si="22"/>
        <v>-</v>
      </c>
      <c r="AR166" s="386" t="str">
        <f t="shared" si="23"/>
        <v>-</v>
      </c>
      <c r="AS166" s="388"/>
      <c r="AT166" s="242" t="str">
        <f t="shared" si="24"/>
        <v>-</v>
      </c>
      <c r="AU166" s="686" t="str">
        <f t="shared" si="19"/>
        <v>BUND  14-Apr-23  0</v>
      </c>
      <c r="AV166" s="702"/>
      <c r="AW166" s="684"/>
      <c r="AX166" s="684"/>
      <c r="AY166" s="684"/>
      <c r="AZ166" s="684"/>
      <c r="BA166" s="684"/>
      <c r="BB166" s="683"/>
      <c r="BC166" s="696"/>
      <c r="BE166" s="706">
        <f>_xll.xlDateShiftMonth(BE165,1)</f>
        <v>47907</v>
      </c>
      <c r="BF166" s="707">
        <v>2.2608732311656183E-2</v>
      </c>
      <c r="BU166" s="133" t="s">
        <v>599</v>
      </c>
      <c r="BV166" s="133" t="s">
        <v>599</v>
      </c>
      <c r="BW166" s="133" t="s">
        <v>599</v>
      </c>
      <c r="BX166" s="133" t="s">
        <v>599</v>
      </c>
      <c r="BY166" s="133" t="s">
        <v>599</v>
      </c>
      <c r="BZ166" s="133" t="s">
        <v>599</v>
      </c>
      <c r="CA166" s="133" t="s">
        <v>599</v>
      </c>
      <c r="CB166" s="133" t="s">
        <v>599</v>
      </c>
      <c r="CC166" s="133" t="s">
        <v>599</v>
      </c>
      <c r="CD166" s="133" t="s">
        <v>599</v>
      </c>
      <c r="CE166" s="133" t="s">
        <v>599</v>
      </c>
      <c r="CF166" s="133" t="s">
        <v>599</v>
      </c>
    </row>
    <row r="167" spans="1:84">
      <c r="A167" s="10"/>
      <c r="B167" s="11"/>
      <c r="C167" s="12"/>
      <c r="D167" s="720">
        <f>MAX(_xll.xlDateSettle("TARGET",$D$4,2),L167)</f>
        <v>43179</v>
      </c>
      <c r="E167" s="718" t="s">
        <v>646</v>
      </c>
      <c r="F167" s="13" t="s">
        <v>1413</v>
      </c>
      <c r="G167" s="35">
        <v>45061</v>
      </c>
      <c r="H167" s="37">
        <v>1.5</v>
      </c>
      <c r="I167" s="11">
        <v>45061</v>
      </c>
      <c r="J167" s="11">
        <v>41409</v>
      </c>
      <c r="K167" s="11">
        <v>41774</v>
      </c>
      <c r="L167" s="11">
        <v>41418</v>
      </c>
      <c r="M167" s="12">
        <v>100.84</v>
      </c>
      <c r="N167" s="12" t="s">
        <v>1470</v>
      </c>
      <c r="O167" s="12" t="s">
        <v>1178</v>
      </c>
      <c r="P167" s="12" t="s">
        <v>1471</v>
      </c>
      <c r="Q167" s="15">
        <v>18000000000</v>
      </c>
      <c r="R167" s="12"/>
      <c r="S167" s="43">
        <f>_xll.RtGet("IDN",$X167,$S$9)</f>
        <v>107.923</v>
      </c>
      <c r="T167" s="43">
        <f>_xll.RtGet("IDN",$X167,$T$9)</f>
        <v>107.953</v>
      </c>
      <c r="U167" s="25">
        <f t="shared" si="25"/>
        <v>107.938</v>
      </c>
      <c r="V167" s="12"/>
      <c r="W167" s="25">
        <f t="shared" si="26"/>
        <v>107.938</v>
      </c>
      <c r="X167" s="14" t="str">
        <f t="shared" si="20"/>
        <v>DE110231=</v>
      </c>
      <c r="Y167" s="14"/>
      <c r="Z167" s="14"/>
      <c r="AA167" s="14"/>
      <c r="AB167" s="14"/>
      <c r="AC167" s="14"/>
      <c r="AD167" s="34">
        <f>IF(ISNUMBER($D167),_xll.xlBondYield($F167,$H167,$G167,$J167,$K167,$L167,$M167,$D167,$W167,IF(NOT($H167),TRUE,FALSE)),"")</f>
        <v>-3.8503403243633251E-4</v>
      </c>
      <c r="AE167" s="12"/>
      <c r="AF167" s="12"/>
      <c r="AG167" s="12"/>
      <c r="AH167" s="14"/>
      <c r="AI167" s="14"/>
      <c r="AJ167" s="14"/>
      <c r="AK167" s="246">
        <f>IF(ISNUMBER($D167),_xll.xlBondAswSpread($F167&amp;T(TYPE($AV$1)),$H167,$G167,$J167,$K167,$L167,$M167,$D167,$W167,IF(NOT($H167),TRUE,FALSE),curveName,curveName,,,2),"")</f>
        <v>-0.47697482354096254</v>
      </c>
      <c r="AL167" s="213">
        <f>IF($W167&gt;0,_xll.xlBondZSpread(F167&amp;T(TYPE($AV$1)),H167,G167,J167,K167,L167,M167,D167,U167,"annual",5,IF(NOT($H167),TRUE,FALSE),curveName)*100,"")</f>
        <v>-46.574924611553449</v>
      </c>
      <c r="AM167" s="266">
        <f>(-IF($AL$9="",VLOOKUP(VLOOKUP(E167,'DB Basis'!$D$2:$H$65205,4,0),Bonds!$AR$1:$AS$6,2,0),$AL$9)*VLOOKUP(E167,'DB Basis'!$D$2:$E$65205,2,0))+IF(V167="",W167,V167)</f>
        <v>1.7370430750000025</v>
      </c>
      <c r="AN167" s="274" t="str">
        <f>IF($AN$9+(($AL$9-$AM$9))*('DB Basis'!F327/10-'DB Basis'!E327),," ")</f>
        <v xml:space="preserve"> </v>
      </c>
      <c r="AO167" s="639">
        <f>IF(U167&gt;0,_xll.xlShmImplSwap2(curveName&amp;T(TYPE($AV$1)),curveName,D167,G167,,1,8,2,4),"")</f>
        <v>4.3566969831749071E-3</v>
      </c>
      <c r="AP167" s="640">
        <f t="shared" si="21"/>
        <v>-4.7417310156112396E-3</v>
      </c>
      <c r="AQ167" s="386" t="str">
        <f t="shared" si="22"/>
        <v>-</v>
      </c>
      <c r="AR167" s="386" t="str">
        <f t="shared" si="23"/>
        <v>-</v>
      </c>
      <c r="AS167" s="388"/>
      <c r="AT167" s="242">
        <f t="shared" si="24"/>
        <v>-3.7975959363583479E-2</v>
      </c>
      <c r="AU167" s="686" t="str">
        <f t="shared" si="19"/>
        <v>BUND  15-May-23  1.5</v>
      </c>
      <c r="AV167" s="702"/>
      <c r="AW167" s="684"/>
      <c r="AX167" s="684"/>
      <c r="AY167" s="684"/>
      <c r="AZ167" s="684"/>
      <c r="BA167" s="684"/>
      <c r="BB167" s="683"/>
      <c r="BC167" s="696"/>
      <c r="BE167" s="706">
        <f>_xll.xlDateShiftMonth(BE166,1)</f>
        <v>47935</v>
      </c>
      <c r="BF167" s="707">
        <v>2.2679336660812122E-2</v>
      </c>
      <c r="BU167" s="133" t="s">
        <v>599</v>
      </c>
      <c r="BV167" s="133" t="s">
        <v>599</v>
      </c>
      <c r="BW167" s="133" t="s">
        <v>599</v>
      </c>
      <c r="BX167" s="133" t="s">
        <v>599</v>
      </c>
      <c r="BY167" s="133" t="s">
        <v>599</v>
      </c>
      <c r="BZ167" s="133" t="s">
        <v>599</v>
      </c>
      <c r="CA167" s="133" t="s">
        <v>599</v>
      </c>
      <c r="CB167" s="133" t="s">
        <v>599</v>
      </c>
      <c r="CC167" s="133" t="s">
        <v>599</v>
      </c>
      <c r="CD167" s="133" t="s">
        <v>599</v>
      </c>
      <c r="CE167" s="133" t="s">
        <v>599</v>
      </c>
      <c r="CF167" s="133" t="s">
        <v>599</v>
      </c>
    </row>
    <row r="168" spans="1:84">
      <c r="A168" s="10"/>
      <c r="B168" s="11"/>
      <c r="C168" s="12"/>
      <c r="D168" s="720">
        <f>MAX(_xll.xlDateSettle("TARGET",$D$4,2),L168)</f>
        <v>43179</v>
      </c>
      <c r="E168" s="718" t="s">
        <v>647</v>
      </c>
      <c r="F168" s="13" t="s">
        <v>1413</v>
      </c>
      <c r="G168" s="35">
        <v>45153</v>
      </c>
      <c r="H168" s="37">
        <v>2</v>
      </c>
      <c r="I168" s="11">
        <v>45153</v>
      </c>
      <c r="J168" s="11">
        <v>41501</v>
      </c>
      <c r="K168" s="11">
        <v>41866</v>
      </c>
      <c r="L168" s="11">
        <v>41530</v>
      </c>
      <c r="M168" s="12">
        <v>99.49</v>
      </c>
      <c r="N168" s="12" t="s">
        <v>1472</v>
      </c>
      <c r="O168" s="12" t="s">
        <v>1178</v>
      </c>
      <c r="P168" s="12" t="s">
        <v>1473</v>
      </c>
      <c r="Q168" s="15">
        <v>18000000000</v>
      </c>
      <c r="R168" s="12"/>
      <c r="S168" s="43">
        <f>_xll.RtGet("IDN",$X168,$S$9)</f>
        <v>110.768</v>
      </c>
      <c r="T168" s="43">
        <f>_xll.RtGet("IDN",$X168,$T$9)</f>
        <v>110.788</v>
      </c>
      <c r="U168" s="25">
        <f t="shared" si="25"/>
        <v>110.77799999999999</v>
      </c>
      <c r="V168" s="12"/>
      <c r="W168" s="25">
        <f t="shared" si="26"/>
        <v>110.77799999999999</v>
      </c>
      <c r="X168" s="14" t="str">
        <f t="shared" si="20"/>
        <v>DE110232=</v>
      </c>
      <c r="Y168" s="14"/>
      <c r="Z168" s="14"/>
      <c r="AA168" s="14"/>
      <c r="AB168" s="14"/>
      <c r="AC168" s="14"/>
      <c r="AD168" s="34">
        <f>IF(ISNUMBER($D168),_xll.xlBondYield($F168,$H168,$G168,$J168,$K168,$L168,$M168,$D168,$W168,IF(NOT($H168),TRUE,FALSE)),"")</f>
        <v>5.7288983906559482E-5</v>
      </c>
      <c r="AE168" s="12"/>
      <c r="AF168" s="12"/>
      <c r="AG168" s="12"/>
      <c r="AH168" s="14"/>
      <c r="AI168" s="14"/>
      <c r="AJ168" s="14"/>
      <c r="AK168" s="246">
        <f>IF(ISNUMBER($D168),_xll.xlBondAswSpread($F168&amp;T(TYPE($AV$1)),$H168,$G168,$J168,$K168,$L168,$M168,$D168,$W168,IF(NOT($H168),TRUE,FALSE),curveName,curveName,,,2),"")</f>
        <v>-0.47349375314380354</v>
      </c>
      <c r="AL168" s="213">
        <f>IF($W168&gt;0,_xll.xlBondZSpread(F168&amp;T(TYPE($AV$1)),H168,G168,J168,K168,L168,M168,D168,U168,"annual",5,IF(NOT($H168),TRUE,FALSE),curveName)*100,"")</f>
        <v>-45.535008748178029</v>
      </c>
      <c r="AM168" s="266">
        <f>(-IF($AL$9="",VLOOKUP(VLOOKUP(E168,'DB Basis'!$D$2:$H$65205,4,0),Bonds!$AR$1:$AS$6,2,0),$AL$9)*VLOOKUP(E168,'DB Basis'!$D$2:$E$65205,2,0))+IF(V168="",W168,V168)</f>
        <v>2.8207785649999835</v>
      </c>
      <c r="AN168" s="274" t="str">
        <f>IF($AN$9+(($AL$9-$AM$9))*('DB Basis'!F328/10-'DB Basis'!E328),," ")</f>
        <v xml:space="preserve"> </v>
      </c>
      <c r="AO168" s="639">
        <f>IF(U168&gt;0,_xll.xlShmImplSwap2(curveName&amp;T(TYPE($AV$1)),curveName,D168,G168,,1,8,2,4),"")</f>
        <v>4.740416145246118E-3</v>
      </c>
      <c r="AP168" s="640">
        <f t="shared" si="21"/>
        <v>-4.6831271613395585E-3</v>
      </c>
      <c r="AQ168" s="386">
        <f t="shared" si="22"/>
        <v>17.548684887516913</v>
      </c>
      <c r="AR168" s="386">
        <f t="shared" si="23"/>
        <v>2.3250442183873492</v>
      </c>
      <c r="AS168" s="388"/>
      <c r="AT168" s="242">
        <f t="shared" si="24"/>
        <v>5.6504203305099768E-3</v>
      </c>
      <c r="AU168" s="686" t="str">
        <f t="shared" si="19"/>
        <v>BUND  15-Aug-23  2</v>
      </c>
      <c r="AV168" s="702"/>
      <c r="AW168" s="684"/>
      <c r="AX168" s="684"/>
      <c r="AY168" s="684"/>
      <c r="AZ168" s="684"/>
      <c r="BA168" s="684"/>
      <c r="BB168" s="683"/>
      <c r="BC168" s="696"/>
      <c r="BE168" s="706">
        <f>_xll.xlDateShiftMonth(BE167,1)</f>
        <v>47966</v>
      </c>
      <c r="BF168" s="707">
        <v>2.2756758832600969E-2</v>
      </c>
      <c r="BU168" s="133" t="s">
        <v>599</v>
      </c>
      <c r="BV168" s="133" t="s">
        <v>599</v>
      </c>
      <c r="BW168" s="133" t="s">
        <v>599</v>
      </c>
      <c r="BX168" s="133" t="s">
        <v>599</v>
      </c>
      <c r="BY168" s="133" t="s">
        <v>599</v>
      </c>
      <c r="BZ168" s="133" t="s">
        <v>599</v>
      </c>
      <c r="CA168" s="133" t="s">
        <v>599</v>
      </c>
      <c r="CB168" s="133" t="s">
        <v>599</v>
      </c>
      <c r="CC168" s="133" t="s">
        <v>599</v>
      </c>
      <c r="CD168" s="133" t="s">
        <v>599</v>
      </c>
      <c r="CE168" s="133" t="s">
        <v>599</v>
      </c>
      <c r="CF168" s="133" t="s">
        <v>599</v>
      </c>
    </row>
    <row r="169" spans="1:84">
      <c r="A169" s="10"/>
      <c r="B169" s="11"/>
      <c r="C169" s="12"/>
      <c r="D169" s="720">
        <f>MAX(_xll.xlDateSettle("TARGET",$D$4,2),L169)</f>
        <v>43179</v>
      </c>
      <c r="E169" s="718" t="s">
        <v>648</v>
      </c>
      <c r="F169" s="13" t="s">
        <v>1413</v>
      </c>
      <c r="G169" s="35">
        <v>45295</v>
      </c>
      <c r="H169" s="37">
        <v>6.25</v>
      </c>
      <c r="I169" s="11">
        <v>45295</v>
      </c>
      <c r="J169" s="11">
        <v>34338</v>
      </c>
      <c r="K169" s="11">
        <v>34703</v>
      </c>
      <c r="L169" s="11">
        <v>34338</v>
      </c>
      <c r="M169" s="12">
        <v>100.4</v>
      </c>
      <c r="N169" s="12" t="s">
        <v>1474</v>
      </c>
      <c r="O169" s="12" t="s">
        <v>1178</v>
      </c>
      <c r="P169" s="12" t="s">
        <v>1475</v>
      </c>
      <c r="Q169" s="15">
        <v>10250000000</v>
      </c>
      <c r="R169" s="12"/>
      <c r="S169" s="43">
        <f>_xll.RtGet("IDN",$X169,$S$9)</f>
        <v>135.751</v>
      </c>
      <c r="T169" s="43">
        <f>_xll.RtGet("IDN",$X169,$T$9)</f>
        <v>135.851</v>
      </c>
      <c r="U169" s="25">
        <f t="shared" si="25"/>
        <v>135.80099999999999</v>
      </c>
      <c r="V169" s="12"/>
      <c r="W169" s="25">
        <f t="shared" si="26"/>
        <v>135.80099999999999</v>
      </c>
      <c r="X169" s="14" t="str">
        <f t="shared" si="20"/>
        <v>DE113492=</v>
      </c>
      <c r="Y169" s="14"/>
      <c r="Z169" s="14"/>
      <c r="AA169" s="14"/>
      <c r="AB169" s="14"/>
      <c r="AC169" s="14"/>
      <c r="AD169" s="34">
        <f>IF(ISNUMBER($D169),_xll.xlBondYield($F169,$H169,$G169,$J169,$K169,$L169,$M169,$D169,$W169,IF(NOT($H169),TRUE,FALSE)),"")</f>
        <v>5.9111507329619173E-4</v>
      </c>
      <c r="AE169" s="12"/>
      <c r="AF169" s="12"/>
      <c r="AG169" s="12"/>
      <c r="AH169" s="14"/>
      <c r="AI169" s="14"/>
      <c r="AJ169" s="14"/>
      <c r="AK169" s="246">
        <f>IF(ISNUMBER($D169),_xll.xlBondAswSpread($F169&amp;T(TYPE($AV$1)),$H169,$G169,$J169,$K169,$L169,$M169,$D169,$W169,IF(NOT($H169),TRUE,FALSE),curveName,curveName,,,2),"")</f>
        <v>-0.50700253464037448</v>
      </c>
      <c r="AL169" s="213">
        <f>IF($W169&gt;0,_xll.xlBondZSpread(F169&amp;T(TYPE($AV$1)),H169,G169,J169,K169,L169,M169,D169,U169,"annual",5,IF(NOT($H169),TRUE,FALSE),curveName)*100,"")</f>
        <v>-42.874004714292838</v>
      </c>
      <c r="AM169" s="266">
        <f>(-IF($AL$9="",VLOOKUP(VLOOKUP(E169,'DB Basis'!$D$2:$H$65205,4,0),Bonds!$AR$1:$AS$6,2,0),$AL$9)*VLOOKUP(E169,'DB Basis'!$D$2:$E$65205,2,0))+IF(V169="",W169,V169)</f>
        <v>-9.4873600000000238</v>
      </c>
      <c r="AN169" s="274" t="str">
        <f>IF($AN$9+(($AL$9-$AM$9))*('DB Basis'!F329/10-'DB Basis'!E329),," ")</f>
        <v xml:space="preserve"> </v>
      </c>
      <c r="AO169" s="639">
        <f>IF(U169&gt;0,_xll.xlShmImplSwap2(curveName&amp;T(TYPE($AV$1)),curveName,D169,G169,,1,8,2,4),"")</f>
        <v>5.3317548084857802E-3</v>
      </c>
      <c r="AP169" s="640">
        <f t="shared" si="21"/>
        <v>-4.7406397351895885E-3</v>
      </c>
      <c r="AQ169" s="386">
        <f t="shared" si="22"/>
        <v>13.721586100508153</v>
      </c>
      <c r="AR169" s="386">
        <f t="shared" si="23"/>
        <v>-1.4783161588211937</v>
      </c>
      <c r="AS169" s="388"/>
      <c r="AT169" s="242">
        <f t="shared" si="24"/>
        <v>5.8301760653870965E-2</v>
      </c>
      <c r="AU169" s="686" t="str">
        <f t="shared" si="19"/>
        <v>BUND  04-Jan-24  6.25</v>
      </c>
      <c r="AV169" s="702"/>
      <c r="AW169" s="684"/>
      <c r="AX169" s="684"/>
      <c r="AY169" s="684"/>
      <c r="AZ169" s="684"/>
      <c r="BA169" s="684"/>
      <c r="BB169" s="683"/>
      <c r="BC169" s="696"/>
      <c r="BE169" s="706">
        <f>_xll.xlDateShiftMonth(BE168,1)</f>
        <v>47996</v>
      </c>
      <c r="BF169" s="707">
        <v>2.283092861717646E-2</v>
      </c>
      <c r="BU169" s="133" t="s">
        <v>599</v>
      </c>
      <c r="BV169" s="133" t="s">
        <v>599</v>
      </c>
      <c r="BW169" s="133" t="s">
        <v>599</v>
      </c>
      <c r="BX169" s="133" t="s">
        <v>599</v>
      </c>
      <c r="BY169" s="133" t="s">
        <v>599</v>
      </c>
      <c r="BZ169" s="133" t="s">
        <v>599</v>
      </c>
      <c r="CA169" s="133" t="s">
        <v>599</v>
      </c>
      <c r="CB169" s="133" t="s">
        <v>599</v>
      </c>
      <c r="CC169" s="133" t="s">
        <v>599</v>
      </c>
      <c r="CD169" s="133" t="s">
        <v>599</v>
      </c>
      <c r="CE169" s="133" t="s">
        <v>599</v>
      </c>
      <c r="CF169" s="133" t="s">
        <v>599</v>
      </c>
    </row>
    <row r="170" spans="1:84">
      <c r="A170" s="10"/>
      <c r="B170" s="11"/>
      <c r="C170" s="12"/>
      <c r="D170" s="720">
        <f>MAX(_xll.xlDateSettle("TARGET",$D$4,2),L170)</f>
        <v>43179</v>
      </c>
      <c r="E170" s="718" t="s">
        <v>409</v>
      </c>
      <c r="F170" s="13" t="s">
        <v>1413</v>
      </c>
      <c r="G170" s="35">
        <v>45337</v>
      </c>
      <c r="H170" s="37">
        <v>1.75</v>
      </c>
      <c r="I170" s="11">
        <v>45337</v>
      </c>
      <c r="J170" s="11">
        <v>41670</v>
      </c>
      <c r="K170" s="11">
        <v>42050</v>
      </c>
      <c r="L170" s="11">
        <v>41670</v>
      </c>
      <c r="M170" s="12">
        <v>99.78</v>
      </c>
      <c r="N170" s="12" t="s">
        <v>1476</v>
      </c>
      <c r="O170" s="12" t="s">
        <v>1197</v>
      </c>
      <c r="P170" s="12" t="s">
        <v>1477</v>
      </c>
      <c r="Q170" s="15">
        <v>18000000000</v>
      </c>
      <c r="R170" s="12"/>
      <c r="S170" s="43">
        <f>_xll.RtGet("IDN",$X170,$S$9)</f>
        <v>109.789</v>
      </c>
      <c r="T170" s="43">
        <f>_xll.RtGet("IDN",$X170,$T$9)</f>
        <v>109.812</v>
      </c>
      <c r="U170" s="25">
        <f t="shared" si="25"/>
        <v>109.8005</v>
      </c>
      <c r="V170" s="12"/>
      <c r="W170" s="25">
        <f t="shared" si="26"/>
        <v>109.8005</v>
      </c>
      <c r="X170" s="14" t="str">
        <f t="shared" si="20"/>
        <v>DE110233=</v>
      </c>
      <c r="Y170" s="14"/>
      <c r="Z170" s="14"/>
      <c r="AA170" s="14"/>
      <c r="AB170" s="14"/>
      <c r="AC170" s="14"/>
      <c r="AD170" s="34">
        <f>IF(ISNUMBER($D170),_xll.xlBondYield($F170,$H170,$G170,$J170,$K170,$L170,$M170,$D170,$W170,IF(NOT($H170),TRUE,FALSE)),"")</f>
        <v>8.6616886315570366E-4</v>
      </c>
      <c r="AE170" s="12"/>
      <c r="AF170" s="12"/>
      <c r="AG170" s="12"/>
      <c r="AH170" s="14"/>
      <c r="AI170" s="14"/>
      <c r="AJ170" s="14"/>
      <c r="AK170" s="246">
        <f>IF(ISNUMBER($D170),_xll.xlBondAswSpread($F170&amp;T(TYPE($AV$1)),$H170,$G170,$J170,$K170,$L170,$M170,$D170,$W170,IF(NOT($H170),TRUE,FALSE),curveName,curveName,,,2),"")</f>
        <v>-0.46637921913228758</v>
      </c>
      <c r="AL170" s="213">
        <f>IF($W170&gt;0,_xll.xlBondZSpread(F170&amp;T(TYPE($AV$1)),H170,G170,J170,K170,L170,M170,D170,U170,"annual",5,IF(NOT($H170),TRUE,FALSE),curveName)*100,"")</f>
        <v>-45.210773256933336</v>
      </c>
      <c r="AM170" s="266">
        <f>(-IF($AL$9="",VLOOKUP(VLOOKUP(E170,'DB Basis'!$D$2:$H$65205,4,0),Bonds!$AR$1:$AS$6,2,0),$AL$9)*VLOOKUP(E170,'DB Basis'!$D$2:$E$65205,2,0))+IF(V170="",W170,V170)</f>
        <v>-19.286640000000006</v>
      </c>
      <c r="AN170" s="274" t="str">
        <f>IF($AN$9+(($AL$9-$AM$9))*('DB Basis'!F330/10-'DB Basis'!E330),," ")</f>
        <v xml:space="preserve"> </v>
      </c>
      <c r="AO170" s="639">
        <f>IF(U170&gt;0,_xll.xlShmImplSwap2(curveName&amp;T(TYPE($AV$1)),curveName,D170,G170,,1,8,2,4),"")</f>
        <v>5.5066424598081984E-3</v>
      </c>
      <c r="AP170" s="640">
        <f t="shared" si="21"/>
        <v>-4.6404735966524948E-3</v>
      </c>
      <c r="AQ170" s="386">
        <f t="shared" si="22"/>
        <v>23.903484118743297</v>
      </c>
      <c r="AR170" s="386">
        <f t="shared" si="23"/>
        <v>8.7049144204855278</v>
      </c>
      <c r="AS170" s="388"/>
      <c r="AT170" s="242">
        <f t="shared" si="24"/>
        <v>8.5430353626315972E-2</v>
      </c>
      <c r="AU170" s="686" t="str">
        <f t="shared" si="19"/>
        <v>BUND  15-Feb-24  1.75</v>
      </c>
      <c r="AV170" s="702"/>
      <c r="AW170" s="684"/>
      <c r="AX170" s="684"/>
      <c r="AY170" s="684"/>
      <c r="AZ170" s="684"/>
      <c r="BA170" s="684"/>
      <c r="BB170" s="683"/>
      <c r="BC170" s="696"/>
      <c r="BE170" s="706">
        <f>_xll.xlDateShiftMonth(BE169,1)</f>
        <v>48027</v>
      </c>
      <c r="BF170" s="707">
        <v>2.2906782591136123E-2</v>
      </c>
      <c r="BU170" s="133" t="s">
        <v>599</v>
      </c>
      <c r="BV170" s="133" t="s">
        <v>599</v>
      </c>
      <c r="BW170" s="133" t="s">
        <v>599</v>
      </c>
      <c r="BX170" s="133" t="s">
        <v>599</v>
      </c>
      <c r="BY170" s="133" t="s">
        <v>599</v>
      </c>
      <c r="BZ170" s="133" t="s">
        <v>599</v>
      </c>
      <c r="CA170" s="133" t="s">
        <v>599</v>
      </c>
      <c r="CB170" s="133" t="s">
        <v>599</v>
      </c>
      <c r="CC170" s="133" t="s">
        <v>599</v>
      </c>
      <c r="CD170" s="133" t="s">
        <v>599</v>
      </c>
      <c r="CE170" s="133" t="s">
        <v>599</v>
      </c>
      <c r="CF170" s="133" t="s">
        <v>599</v>
      </c>
    </row>
    <row r="171" spans="1:84">
      <c r="A171" s="10"/>
      <c r="B171" s="11"/>
      <c r="C171" s="12"/>
      <c r="D171" s="720">
        <f>MAX(_xll.xlDateSettle("TARGET",$D$4,2),L171)</f>
        <v>43179</v>
      </c>
      <c r="E171" s="718" t="s">
        <v>410</v>
      </c>
      <c r="F171" s="13" t="s">
        <v>1413</v>
      </c>
      <c r="G171" s="35">
        <v>45427</v>
      </c>
      <c r="H171" s="37">
        <v>1.5</v>
      </c>
      <c r="I171" s="11">
        <v>45427</v>
      </c>
      <c r="J171" s="11">
        <v>41774</v>
      </c>
      <c r="K171" s="11">
        <v>42139</v>
      </c>
      <c r="L171" s="11">
        <v>41782</v>
      </c>
      <c r="M171" s="12">
        <v>100.83</v>
      </c>
      <c r="N171" s="12" t="s">
        <v>1478</v>
      </c>
      <c r="O171" s="12" t="s">
        <v>1178</v>
      </c>
      <c r="P171" s="12" t="s">
        <v>1479</v>
      </c>
      <c r="Q171" s="15">
        <v>18000000000</v>
      </c>
      <c r="R171" s="12"/>
      <c r="S171" s="43">
        <f>_xll.RtGet("IDN",$X171,$S$9)</f>
        <v>108.423</v>
      </c>
      <c r="T171" s="43">
        <f>_xll.RtGet("IDN",$X171,$T$9)</f>
        <v>108.446</v>
      </c>
      <c r="U171" s="25">
        <f t="shared" si="25"/>
        <v>108.4345</v>
      </c>
      <c r="V171" s="12"/>
      <c r="W171" s="25">
        <f t="shared" si="26"/>
        <v>108.4345</v>
      </c>
      <c r="X171" s="14" t="str">
        <f t="shared" si="20"/>
        <v>DE110235=</v>
      </c>
      <c r="Y171" s="14"/>
      <c r="Z171" s="14"/>
      <c r="AA171" s="14"/>
      <c r="AB171" s="14"/>
      <c r="AC171" s="14"/>
      <c r="AD171" s="34">
        <f>IF(ISNUMBER($D171),_xll.xlBondYield($F171,$H171,$G171,$J171,$K171,$L171,$M171,$D171,$W171,IF(NOT($H171),TRUE,FALSE)),"")</f>
        <v>1.2323230313174942E-3</v>
      </c>
      <c r="AE171" s="12"/>
      <c r="AF171" s="12"/>
      <c r="AG171" s="12"/>
      <c r="AH171" s="14"/>
      <c r="AI171" s="14"/>
      <c r="AJ171" s="14"/>
      <c r="AK171" s="246">
        <f>IF(ISNUMBER($D171),_xll.xlBondAswSpread($F171&amp;T(TYPE($AV$1)),$H171,$G171,$J171,$K171,$L171,$M171,$D171,$W171,IF(NOT($H171),TRUE,FALSE),curveName,curveName,,,2),"")</f>
        <v>-0.46220570281639251</v>
      </c>
      <c r="AL171" s="213">
        <f>IF($W171&gt;0,_xll.xlBondZSpread(F171&amp;T(TYPE($AV$1)),H171,G171,J171,K171,L171,M171,D171,U171,"annual",5,IF(NOT($H171),TRUE,FALSE),curveName)*100,"")</f>
        <v>-45.192313369764825</v>
      </c>
      <c r="AM171" s="266">
        <f>(-IF($AL$9="",VLOOKUP(VLOOKUP(E171,'DB Basis'!$D$2:$H$65205,4,0),Bonds!$AR$1:$AS$6,2,0),$AL$9)*VLOOKUP(E171,'DB Basis'!$D$2:$E$65205,2,0))+IF(V171="",W171,V171)</f>
        <v>-24.572289999999995</v>
      </c>
      <c r="AN171" s="274" t="str">
        <f>IF($AN$9+(($AL$9-$AM$9))*('DB Basis'!F331/10-'DB Basis'!E331),," ")</f>
        <v xml:space="preserve"> </v>
      </c>
      <c r="AO171" s="639">
        <f>IF(U171&gt;0,_xll.xlShmImplSwap2(curveName&amp;T(TYPE($AV$1)),curveName,D171,G171,,1,8,2,4),"")</f>
        <v>5.8480048381216896E-3</v>
      </c>
      <c r="AP171" s="640">
        <f t="shared" si="21"/>
        <v>-4.6156818068041955E-3</v>
      </c>
      <c r="AQ171" s="386">
        <f t="shared" si="22"/>
        <v>14.849585708783726</v>
      </c>
      <c r="AR171" s="386">
        <f t="shared" si="23"/>
        <v>1.005444810514361</v>
      </c>
      <c r="AS171" s="388"/>
      <c r="AT171" s="242">
        <f t="shared" si="24"/>
        <v>0.1215441893902186</v>
      </c>
      <c r="AU171" s="686" t="str">
        <f t="shared" si="19"/>
        <v>BUND  15-May-24  1.5</v>
      </c>
      <c r="AV171" s="702"/>
      <c r="AW171" s="684"/>
      <c r="AX171" s="684"/>
      <c r="AY171" s="684"/>
      <c r="AZ171" s="684"/>
      <c r="BA171" s="684"/>
      <c r="BB171" s="683"/>
      <c r="BC171" s="696"/>
      <c r="BE171" s="706">
        <f>_xll.xlDateShiftMonth(BE170,1)</f>
        <v>48057</v>
      </c>
      <c r="BF171" s="707">
        <v>2.2979419219455371E-2</v>
      </c>
      <c r="BU171" s="133" t="s">
        <v>599</v>
      </c>
      <c r="BV171" s="133" t="s">
        <v>599</v>
      </c>
      <c r="BW171" s="133" t="s">
        <v>599</v>
      </c>
      <c r="BX171" s="133" t="s">
        <v>599</v>
      </c>
      <c r="BY171" s="133" t="s">
        <v>599</v>
      </c>
      <c r="BZ171" s="133" t="s">
        <v>599</v>
      </c>
      <c r="CA171" s="133" t="s">
        <v>599</v>
      </c>
      <c r="CB171" s="133" t="s">
        <v>599</v>
      </c>
      <c r="CC171" s="133" t="s">
        <v>599</v>
      </c>
      <c r="CD171" s="133" t="s">
        <v>599</v>
      </c>
      <c r="CE171" s="133" t="s">
        <v>599</v>
      </c>
      <c r="CF171" s="133" t="s">
        <v>599</v>
      </c>
    </row>
    <row r="172" spans="1:84">
      <c r="A172" s="10"/>
      <c r="B172" s="11"/>
      <c r="C172" s="12"/>
      <c r="D172" s="720">
        <f>MAX(_xll.xlDateSettle("TARGET",$D$4,2),L172)</f>
        <v>43179</v>
      </c>
      <c r="E172" s="718" t="s">
        <v>411</v>
      </c>
      <c r="F172" s="13" t="s">
        <v>1413</v>
      </c>
      <c r="G172" s="35">
        <v>45519</v>
      </c>
      <c r="H172" s="37">
        <v>1</v>
      </c>
      <c r="I172" s="11">
        <v>45519</v>
      </c>
      <c r="J172" s="11">
        <v>41866</v>
      </c>
      <c r="K172" s="11">
        <v>42231</v>
      </c>
      <c r="L172" s="11">
        <v>41894</v>
      </c>
      <c r="M172" s="12">
        <v>99.55</v>
      </c>
      <c r="N172" s="12" t="s">
        <v>1480</v>
      </c>
      <c r="O172" s="12" t="s">
        <v>1178</v>
      </c>
      <c r="P172" s="12" t="s">
        <v>1481</v>
      </c>
      <c r="Q172" s="15">
        <v>18000000000</v>
      </c>
      <c r="R172" s="12"/>
      <c r="S172" s="43">
        <f>_xll.RtGet("IDN",$X172,$S$9)</f>
        <v>105.345</v>
      </c>
      <c r="T172" s="43">
        <f>_xll.RtGet("IDN",$X172,$T$9)</f>
        <v>105.36800000000001</v>
      </c>
      <c r="U172" s="25">
        <f t="shared" si="25"/>
        <v>105.35650000000001</v>
      </c>
      <c r="V172" s="12"/>
      <c r="W172" s="25">
        <f t="shared" si="26"/>
        <v>105.35650000000001</v>
      </c>
      <c r="X172" s="14" t="str">
        <f t="shared" si="20"/>
        <v>DE110236=</v>
      </c>
      <c r="Y172" s="14"/>
      <c r="Z172" s="14"/>
      <c r="AA172" s="14"/>
      <c r="AB172" s="14"/>
      <c r="AC172" s="14"/>
      <c r="AD172" s="34">
        <f>IF(ISNUMBER($D172),_xll.xlBondYield($F172,$H172,$G172,$J172,$K172,$L172,$M172,$D172,$W172,IF(NOT($H172),TRUE,FALSE)),"")</f>
        <v>1.588084693409153E-3</v>
      </c>
      <c r="AE172" s="12"/>
      <c r="AF172" s="12"/>
      <c r="AG172" s="12"/>
      <c r="AH172" s="14"/>
      <c r="AI172" s="14"/>
      <c r="AJ172" s="14"/>
      <c r="AK172" s="246">
        <f>IF(ISNUMBER($D172),_xll.xlBondAswSpread($F172&amp;T(TYPE($AV$1)),$H172,$G172,$J172,$K172,$L172,$M172,$D172,$W172,IF(NOT($H172),TRUE,FALSE),curveName,curveName,,,2),"")</f>
        <v>-0.45678766748647814</v>
      </c>
      <c r="AL172" s="213">
        <f>IF($W172&gt;0,_xll.xlBondZSpread(F172&amp;T(TYPE($AV$1)),H172,G172,J172,K172,L172,M172,D172,U172,"annual",5,IF(NOT($H172),TRUE,FALSE),curveName)*100,"")</f>
        <v>-45.480327978681473</v>
      </c>
      <c r="AM172" s="266">
        <f>(-IF($AL$9="",VLOOKUP(VLOOKUP(E172,'DB Basis'!$D$2:$H$65205,4,0),Bonds!$AR$1:$AS$6,2,0),$AL$9)*VLOOKUP(E172,'DB Basis'!$D$2:$E$65205,2,0))+IF(V172="",W172,V172)</f>
        <v>-30.394044999999977</v>
      </c>
      <c r="AN172" s="274" t="str">
        <f>IF($AN$9+(($AL$9-$AM$9))*('DB Basis'!F332/10-'DB Basis'!E332),," ")</f>
        <v xml:space="preserve"> </v>
      </c>
      <c r="AO172" s="639">
        <f>IF(U172&gt;0,_xll.xlShmImplSwap2(curveName&amp;T(TYPE($AV$1)),curveName,D172,G172,,1,8,2,4),"")</f>
        <v>6.185640973168152E-3</v>
      </c>
      <c r="AP172" s="640">
        <f t="shared" si="21"/>
        <v>-4.597556279758999E-3</v>
      </c>
      <c r="AQ172" s="386">
        <f t="shared" si="22"/>
        <v>14.11445724602777</v>
      </c>
      <c r="AR172" s="386">
        <f t="shared" si="23"/>
        <v>0.7191105838583377</v>
      </c>
      <c r="AS172" s="388"/>
      <c r="AT172" s="242">
        <f t="shared" si="24"/>
        <v>0.15663301085679315</v>
      </c>
      <c r="AU172" s="686" t="str">
        <f t="shared" si="19"/>
        <v>BUND  15-Aug-24  1</v>
      </c>
      <c r="AV172" s="702"/>
      <c r="AW172" s="684"/>
      <c r="AX172" s="684"/>
      <c r="AY172" s="684"/>
      <c r="AZ172" s="684"/>
      <c r="BA172" s="684"/>
      <c r="BB172" s="683"/>
      <c r="BC172" s="696"/>
      <c r="BE172" s="706">
        <f>_xll.xlDateShiftMonth(BE171,1)</f>
        <v>48088</v>
      </c>
      <c r="BF172" s="707">
        <v>2.3053672868314647E-2</v>
      </c>
      <c r="BU172" s="133" t="s">
        <v>599</v>
      </c>
      <c r="BV172" s="133" t="s">
        <v>599</v>
      </c>
      <c r="BW172" s="133" t="s">
        <v>599</v>
      </c>
      <c r="BX172" s="133" t="s">
        <v>599</v>
      </c>
      <c r="BY172" s="133" t="s">
        <v>599</v>
      </c>
      <c r="BZ172" s="133" t="s">
        <v>599</v>
      </c>
      <c r="CA172" s="133" t="s">
        <v>599</v>
      </c>
      <c r="CB172" s="133" t="s">
        <v>599</v>
      </c>
      <c r="CC172" s="133" t="s">
        <v>599</v>
      </c>
      <c r="CD172" s="133" t="s">
        <v>599</v>
      </c>
      <c r="CE172" s="133" t="s">
        <v>599</v>
      </c>
      <c r="CF172" s="133" t="s">
        <v>599</v>
      </c>
    </row>
    <row r="173" spans="1:84">
      <c r="A173" s="10"/>
      <c r="B173" s="11"/>
      <c r="C173" s="12"/>
      <c r="D173" s="720">
        <f>MAX(_xll.xlDateSettle("TARGET",$D$4,2),L173)</f>
        <v>43179</v>
      </c>
      <c r="E173" s="718" t="s">
        <v>576</v>
      </c>
      <c r="F173" s="13" t="s">
        <v>1413</v>
      </c>
      <c r="G173" s="35">
        <v>45703</v>
      </c>
      <c r="H173" s="37">
        <v>0.5</v>
      </c>
      <c r="I173" s="11">
        <v>45703</v>
      </c>
      <c r="J173" s="11">
        <v>42020</v>
      </c>
      <c r="K173" s="11">
        <v>42415</v>
      </c>
      <c r="L173" s="11">
        <v>42020</v>
      </c>
      <c r="M173" s="12">
        <v>99.82</v>
      </c>
      <c r="N173" s="12" t="s">
        <v>1482</v>
      </c>
      <c r="O173" s="12" t="s">
        <v>1197</v>
      </c>
      <c r="P173" s="12" t="s">
        <v>1483</v>
      </c>
      <c r="Q173" s="15">
        <v>23000000000</v>
      </c>
      <c r="R173" s="12"/>
      <c r="S173" s="43">
        <f>_xll.RtGet("IDN",$X173,$S$9)</f>
        <v>101.89700000000001</v>
      </c>
      <c r="T173" s="43">
        <f>_xll.RtGet("IDN",$X173,$T$9)</f>
        <v>101.92</v>
      </c>
      <c r="U173" s="25">
        <f t="shared" si="25"/>
        <v>101.9085</v>
      </c>
      <c r="V173" s="12"/>
      <c r="W173" s="25">
        <f t="shared" si="26"/>
        <v>101.9085</v>
      </c>
      <c r="X173" s="14" t="str">
        <f t="shared" si="20"/>
        <v>DE110237=</v>
      </c>
      <c r="Y173" s="14"/>
      <c r="Z173" s="14"/>
      <c r="AA173" s="14"/>
      <c r="AB173" s="14"/>
      <c r="AC173" s="14"/>
      <c r="AD173" s="34">
        <f>IF(ISNUMBER($D173),_xll.xlBondYield($F173,$H173,$G173,$J173,$K173,$L173,$M173,$D173,$W173,IF(NOT($H173),TRUE,FALSE)),"")</f>
        <v>2.2135971580097488E-3</v>
      </c>
      <c r="AE173" s="12"/>
      <c r="AF173" s="12"/>
      <c r="AG173" s="12"/>
      <c r="AH173" s="14"/>
      <c r="AI173" s="14"/>
      <c r="AJ173" s="14"/>
      <c r="AK173" s="246">
        <f>IF(ISNUMBER($D173),_xll.xlBondAswSpread($F173&amp;T(TYPE($AV$1)),$H173,$G173,$J173,$K173,$L173,$M173,$D173,$W173,IF(NOT($H173),TRUE,FALSE),curveName,curveName,,,2),"")</f>
        <v>-0.45874044877267334</v>
      </c>
      <c r="AL173" s="213">
        <f>IF($W173&gt;0,_xll.xlBondZSpread(F173&amp;T(TYPE($AV$1)),H173,G173,J173,K173,L173,M173,D173,U173,"annual",5,IF(NOT($H173),TRUE,FALSE),curveName)*100,"")</f>
        <v>-46.667464057320487</v>
      </c>
      <c r="AM173" s="266">
        <f>(-IF($AL$9="",VLOOKUP(VLOOKUP(E173,'DB Basis'!$D$2:$H$65205,4,0),Bonds!$AR$1:$AS$6,2,0),$AL$9)*VLOOKUP(E173,'DB Basis'!$D$2:$E$65205,2,0))+IF(V173="",W173,V173)</f>
        <v>-40.766760000000005</v>
      </c>
      <c r="AN173" s="274" t="str">
        <f>IF($AN$9+(($AL$9-$AM$9))*('DB Basis'!F333/10-'DB Basis'!E333),," ")</f>
        <v xml:space="preserve"> </v>
      </c>
      <c r="AO173" s="639">
        <f>IF(U173&gt;0,_xll.xlShmImplSwap2(curveName&amp;T(TYPE($AV$1)),curveName,D173,G173,,1,8,2,4),"")</f>
        <v>6.8670389349282301E-3</v>
      </c>
      <c r="AP173" s="640">
        <f t="shared" si="21"/>
        <v>-4.6534417769184813E-3</v>
      </c>
      <c r="AQ173" s="386">
        <f t="shared" si="22"/>
        <v>12.408263564087905</v>
      </c>
      <c r="AR173" s="386">
        <f t="shared" si="23"/>
        <v>-1.1085981773484259</v>
      </c>
      <c r="AS173" s="388"/>
      <c r="AT173" s="242">
        <f t="shared" si="24"/>
        <v>0.21832739092698894</v>
      </c>
      <c r="AU173" s="686" t="str">
        <f t="shared" si="19"/>
        <v>BUND  15-Feb-25  0.5</v>
      </c>
      <c r="AV173" s="702"/>
      <c r="AW173" s="684"/>
      <c r="AX173" s="684"/>
      <c r="AY173" s="684"/>
      <c r="AZ173" s="684"/>
      <c r="BA173" s="684"/>
      <c r="BB173" s="683"/>
      <c r="BC173" s="696"/>
      <c r="BE173" s="706">
        <f>_xll.xlDateShiftMonth(BE172,1)</f>
        <v>48119</v>
      </c>
      <c r="BF173" s="707">
        <v>2.3127100925060626E-2</v>
      </c>
      <c r="BU173" s="133" t="s">
        <v>599</v>
      </c>
      <c r="BV173" s="133" t="s">
        <v>599</v>
      </c>
      <c r="BW173" s="133" t="s">
        <v>599</v>
      </c>
      <c r="BX173" s="133" t="s">
        <v>599</v>
      </c>
      <c r="BY173" s="133" t="s">
        <v>599</v>
      </c>
      <c r="BZ173" s="133" t="s">
        <v>599</v>
      </c>
      <c r="CA173" s="133" t="s">
        <v>599</v>
      </c>
      <c r="CB173" s="133" t="s">
        <v>599</v>
      </c>
      <c r="CC173" s="133" t="s">
        <v>599</v>
      </c>
      <c r="CD173" s="133" t="s">
        <v>599</v>
      </c>
      <c r="CE173" s="133" t="s">
        <v>599</v>
      </c>
      <c r="CF173" s="133" t="s">
        <v>599</v>
      </c>
    </row>
    <row r="174" spans="1:84">
      <c r="A174" s="10"/>
      <c r="B174" s="11"/>
      <c r="C174" s="12"/>
      <c r="D174" s="720">
        <f>MAX(_xll.xlDateSettle("TARGET",$D$4,2),L174)</f>
        <v>43179</v>
      </c>
      <c r="E174" s="718" t="s">
        <v>741</v>
      </c>
      <c r="F174" s="13" t="s">
        <v>1413</v>
      </c>
      <c r="G174" s="35">
        <v>45884</v>
      </c>
      <c r="H174" s="37">
        <v>1</v>
      </c>
      <c r="I174" s="11">
        <v>45884</v>
      </c>
      <c r="J174" s="11">
        <v>42202</v>
      </c>
      <c r="K174" s="11">
        <v>42597</v>
      </c>
      <c r="L174" s="11">
        <v>42202</v>
      </c>
      <c r="M174" s="12">
        <v>101.18</v>
      </c>
      <c r="N174" s="12" t="s">
        <v>1484</v>
      </c>
      <c r="O174" s="12" t="s">
        <v>1178</v>
      </c>
      <c r="P174" s="12" t="s">
        <v>1485</v>
      </c>
      <c r="Q174" s="15">
        <v>23000000000</v>
      </c>
      <c r="R174" s="12"/>
      <c r="S174" s="43">
        <f>_xll.RtGet("IDN",$X174,$S$9)</f>
        <v>105.327</v>
      </c>
      <c r="T174" s="43">
        <f>_xll.RtGet("IDN",$X174,$T$9)</f>
        <v>105.357</v>
      </c>
      <c r="U174" s="25">
        <f t="shared" si="25"/>
        <v>105.342</v>
      </c>
      <c r="V174" s="12"/>
      <c r="W174" s="25">
        <f t="shared" si="26"/>
        <v>105.342</v>
      </c>
      <c r="X174" s="14" t="str">
        <f t="shared" si="20"/>
        <v>DE110238=</v>
      </c>
      <c r="Y174" s="14"/>
      <c r="Z174" s="14"/>
      <c r="AA174" s="14"/>
      <c r="AB174" s="14"/>
      <c r="AC174" s="14"/>
      <c r="AD174" s="34">
        <f>IF(ISNUMBER($D174),_xll.xlBondYield($F174,$H174,$G174,$J174,$K174,$L174,$M174,$D174,$W174,IF(NOT($H174),TRUE,FALSE)),"")</f>
        <v>2.7037720018805739E-3</v>
      </c>
      <c r="AE174" s="12"/>
      <c r="AF174" s="12"/>
      <c r="AG174" s="12"/>
      <c r="AH174" s="14"/>
      <c r="AI174" s="14"/>
      <c r="AJ174" s="14"/>
      <c r="AK174" s="246">
        <f>IF(ISNUMBER($D174),_xll.xlBondAswSpread($F174&amp;T(TYPE($AV$1)),$H174,$G174,$J174,$K174,$L174,$M174,$D174,$W174,IF(NOT($H174),TRUE,FALSE),curveName,curveName,,,2),"")</f>
        <v>-0.47174632945948297</v>
      </c>
      <c r="AL174" s="213">
        <f>IF($W174&gt;0,_xll.xlBondZSpread(F174&amp;T(TYPE($AV$1)),H174,G174,J174,K174,L174,M174,D174,U174,"annual",5,IF(NOT($H174),TRUE,FALSE),curveName)*100,"")</f>
        <v>-47.136237967510915</v>
      </c>
      <c r="AM174" s="266">
        <f>(-IF($AL$9="",VLOOKUP(VLOOKUP(E174,'DB Basis'!$D$2:$H$65205,4,0),Bonds!$AR$1:$AS$6,2,0),$AL$9)*VLOOKUP(E174,'DB Basis'!$D$2:$E$65205,2,0))+IF(V174="",W174,V174)</f>
        <v>19.169324999999986</v>
      </c>
      <c r="AN174" s="274" t="str">
        <f>IF($AN$9+(($AL$9-$AM$9))*('DB Basis'!F334/10-'DB Basis'!E334),," ")</f>
        <v xml:space="preserve"> </v>
      </c>
      <c r="AO174" s="639">
        <f>IF(U174&gt;0,_xll.xlShmImplSwap2(curveName&amp;T(TYPE($AV$1)),curveName,D174,G174,,1,8,2,4),"")</f>
        <v>7.4590247269451819E-3</v>
      </c>
      <c r="AP174" s="640">
        <f t="shared" si="21"/>
        <v>-4.7552527250646079E-3</v>
      </c>
      <c r="AQ174" s="386">
        <f t="shared" si="22"/>
        <v>9.8847413266768616</v>
      </c>
      <c r="AR174" s="386">
        <f t="shared" si="23"/>
        <v>-2.0530937057091831</v>
      </c>
      <c r="AS174" s="388"/>
      <c r="AT174" s="242">
        <f t="shared" si="24"/>
        <v>0.2666734029252073</v>
      </c>
      <c r="AU174" s="686" t="str">
        <f t="shared" si="19"/>
        <v>BUND  15-Aug-25  1</v>
      </c>
      <c r="AV174" s="702"/>
      <c r="AW174" s="684"/>
      <c r="AX174" s="684"/>
      <c r="AY174" s="684"/>
      <c r="AZ174" s="684"/>
      <c r="BA174" s="684"/>
      <c r="BB174" s="683"/>
      <c r="BC174" s="696"/>
      <c r="BE174" s="706">
        <f>_xll.xlDateShiftMonth(BE173,1)</f>
        <v>48149</v>
      </c>
      <c r="BF174" s="707">
        <v>2.3197366445957723E-2</v>
      </c>
      <c r="BU174" s="133" t="s">
        <v>599</v>
      </c>
      <c r="BV174" s="133" t="s">
        <v>599</v>
      </c>
      <c r="BW174" s="133" t="s">
        <v>599</v>
      </c>
      <c r="BX174" s="133" t="s">
        <v>599</v>
      </c>
      <c r="BY174" s="133" t="s">
        <v>599</v>
      </c>
      <c r="BZ174" s="133" t="s">
        <v>599</v>
      </c>
      <c r="CA174" s="133" t="s">
        <v>599</v>
      </c>
      <c r="CB174" s="133" t="s">
        <v>599</v>
      </c>
      <c r="CC174" s="133" t="s">
        <v>599</v>
      </c>
      <c r="CD174" s="133" t="s">
        <v>599</v>
      </c>
      <c r="CE174" s="133" t="s">
        <v>599</v>
      </c>
      <c r="CF174" s="133" t="s">
        <v>599</v>
      </c>
    </row>
    <row r="175" spans="1:84">
      <c r="A175" s="10"/>
      <c r="B175" s="11"/>
      <c r="C175" s="12"/>
      <c r="D175" s="720">
        <f>MAX(_xll.xlDateSettle("TARGET",$D$4,2),L175)</f>
        <v>43179</v>
      </c>
      <c r="E175" s="718" t="s">
        <v>794</v>
      </c>
      <c r="F175" s="13" t="s">
        <v>1413</v>
      </c>
      <c r="G175" s="35">
        <v>46068</v>
      </c>
      <c r="H175" s="37">
        <v>0.5</v>
      </c>
      <c r="I175" s="11">
        <v>46068</v>
      </c>
      <c r="J175" s="11">
        <v>42384</v>
      </c>
      <c r="K175" s="11">
        <v>42781</v>
      </c>
      <c r="L175" s="11">
        <v>42384</v>
      </c>
      <c r="M175" s="12">
        <v>99.11</v>
      </c>
      <c r="N175" s="12" t="s">
        <v>1486</v>
      </c>
      <c r="O175" s="12" t="s">
        <v>1197</v>
      </c>
      <c r="P175" s="12" t="s">
        <v>1487</v>
      </c>
      <c r="Q175" s="15">
        <v>26000000000</v>
      </c>
      <c r="R175" s="12"/>
      <c r="S175" s="43">
        <f>_xll.RtGet("IDN",$X175,$S$9)</f>
        <v>101.249</v>
      </c>
      <c r="T175" s="43">
        <f>_xll.RtGet("IDN",$X175,$T$9)</f>
        <v>101.274</v>
      </c>
      <c r="U175" s="25">
        <f t="shared" si="25"/>
        <v>101.2615</v>
      </c>
      <c r="V175" s="12"/>
      <c r="W175" s="25">
        <f t="shared" si="26"/>
        <v>101.2615</v>
      </c>
      <c r="X175" s="14" t="str">
        <f t="shared" si="20"/>
        <v>DE110239=</v>
      </c>
      <c r="Y175" s="14"/>
      <c r="Z175" s="14"/>
      <c r="AA175" s="14"/>
      <c r="AB175" s="14"/>
      <c r="AC175" s="14"/>
      <c r="AD175" s="34">
        <f>IF(ISNUMBER($D175),_xll.xlBondYield($F175,$H175,$G175,$J175,$K175,$L175,$M175,$D175,$W175,IF(NOT($H175),TRUE,FALSE)),"")</f>
        <v>3.3808969653920879E-3</v>
      </c>
      <c r="AE175" s="12"/>
      <c r="AF175" s="12"/>
      <c r="AG175" s="12"/>
      <c r="AH175" s="14"/>
      <c r="AI175" s="14"/>
      <c r="AJ175" s="14"/>
      <c r="AK175" s="246">
        <f>IF(ISNUMBER($D175),_xll.xlBondAswSpread($F175&amp;T(TYPE($AV$1)),$H175,$G175,$J175,$K175,$L175,$M175,$D175,$W175,IF(NOT($H175),TRUE,FALSE),curveName,curveName,,,2),"")</f>
        <v>-0.46093394316537378</v>
      </c>
      <c r="AL175" s="213">
        <f>IF($W175&gt;0,_xll.xlBondZSpread(F175&amp;T(TYPE($AV$1)),H175,G175,J175,K175,L175,M175,D175,U175,"annual",5,IF(NOT($H175),TRUE,FALSE),curveName)*100,"")</f>
        <v>-47.210001570678301</v>
      </c>
      <c r="AM175" s="266">
        <f>(-IF($AL$9="",VLOOKUP(VLOOKUP(E175,'DB Basis'!$D$2:$H$65205,4,0),Bonds!$AR$1:$AS$6,2,0),$AL$9)*VLOOKUP(E175,'DB Basis'!$D$2:$E$65205,2,0))+IF(V175="",W175,V175)</f>
        <v>11.768410000000003</v>
      </c>
      <c r="AN175" s="274" t="str">
        <f>IF($AN$9+(($AL$9-$AM$9))*('DB Basis'!F335/10-'DB Basis'!E335),," ")</f>
        <v xml:space="preserve"> </v>
      </c>
      <c r="AO175" s="639">
        <f>IF(U175&gt;0,_xll.xlShmImplSwap2(curveName&amp;T(TYPE($AV$1)),curveName,D175,G175,,1,8,2,4),"")</f>
        <v>8.0660451796016226E-3</v>
      </c>
      <c r="AP175" s="640">
        <f t="shared" si="21"/>
        <v>-4.6851482142095347E-3</v>
      </c>
      <c r="AQ175" s="386">
        <f t="shared" si="22"/>
        <v>13.432098460962097</v>
      </c>
      <c r="AR175" s="386">
        <f t="shared" si="23"/>
        <v>1.3906601338098754</v>
      </c>
      <c r="AS175" s="388"/>
      <c r="AT175" s="242">
        <f t="shared" si="24"/>
        <v>0.33345833083319226</v>
      </c>
      <c r="AU175" s="686" t="str">
        <f t="shared" si="19"/>
        <v>BUND  15-Feb-26  0.5</v>
      </c>
      <c r="AV175" s="702"/>
      <c r="AW175" s="684"/>
      <c r="AX175" s="684"/>
      <c r="AY175" s="684"/>
      <c r="AZ175" s="684"/>
      <c r="BA175" s="684"/>
      <c r="BB175" s="683"/>
      <c r="BC175" s="696"/>
      <c r="BE175" s="706">
        <f>_xll.xlDateShiftMonth(BE174,1)</f>
        <v>48180</v>
      </c>
      <c r="BF175" s="707">
        <v>2.3269145723358226E-2</v>
      </c>
      <c r="BU175" s="133" t="s">
        <v>599</v>
      </c>
      <c r="BV175" s="133" t="s">
        <v>599</v>
      </c>
      <c r="BW175" s="133" t="s">
        <v>599</v>
      </c>
      <c r="BX175" s="133" t="s">
        <v>599</v>
      </c>
      <c r="BY175" s="133" t="s">
        <v>599</v>
      </c>
      <c r="BZ175" s="133" t="s">
        <v>599</v>
      </c>
      <c r="CA175" s="133" t="s">
        <v>599</v>
      </c>
      <c r="CB175" s="133" t="s">
        <v>599</v>
      </c>
      <c r="CC175" s="133" t="s">
        <v>599</v>
      </c>
      <c r="CD175" s="133" t="s">
        <v>599</v>
      </c>
      <c r="CE175" s="133" t="s">
        <v>599</v>
      </c>
      <c r="CF175" s="133" t="s">
        <v>599</v>
      </c>
    </row>
    <row r="176" spans="1:84">
      <c r="A176" s="10"/>
      <c r="B176" s="11"/>
      <c r="C176" s="12"/>
      <c r="D176" s="720">
        <f>MAX(_xll.xlDateSettle("TARGET",$D$4,2),L176)</f>
        <v>43179</v>
      </c>
      <c r="E176" s="718" t="s">
        <v>880</v>
      </c>
      <c r="F176" s="13" t="s">
        <v>1413</v>
      </c>
      <c r="G176" s="35">
        <v>46249</v>
      </c>
      <c r="H176" s="37">
        <v>0</v>
      </c>
      <c r="I176" s="11">
        <v>46249</v>
      </c>
      <c r="J176" s="11">
        <v>42566</v>
      </c>
      <c r="K176" s="11">
        <v>42962</v>
      </c>
      <c r="L176" s="11">
        <v>42566</v>
      </c>
      <c r="M176" s="12">
        <v>100.48</v>
      </c>
      <c r="N176" s="12" t="s">
        <v>599</v>
      </c>
      <c r="O176" s="12" t="s">
        <v>1178</v>
      </c>
      <c r="P176" s="12" t="s">
        <v>1488</v>
      </c>
      <c r="Q176" s="15">
        <v>25000000000</v>
      </c>
      <c r="R176" s="12"/>
      <c r="S176" s="43">
        <f>_xll.RtGet("IDN",$X176,$S$9)</f>
        <v>96.677000000000007</v>
      </c>
      <c r="T176" s="43">
        <f>_xll.RtGet("IDN",$X176,$T$9)</f>
        <v>96.692000000000007</v>
      </c>
      <c r="U176" s="25">
        <f t="shared" si="25"/>
        <v>96.684500000000014</v>
      </c>
      <c r="V176" s="12"/>
      <c r="W176" s="25">
        <f t="shared" si="26"/>
        <v>96.684500000000014</v>
      </c>
      <c r="X176" s="14" t="str">
        <f t="shared" si="20"/>
        <v>DE110240=</v>
      </c>
      <c r="Y176" s="14"/>
      <c r="Z176" s="14"/>
      <c r="AA176" s="14"/>
      <c r="AB176" s="14"/>
      <c r="AC176" s="14"/>
      <c r="AD176" s="34" t="str">
        <f>IF(ISNUMBER($D176),_xll.xlBondYield($F176,$H176,$G176,$J176,$K176,$L176,$M176,$D176,$W176,IF(NOT($H176),TRUE,FALSE)),"")</f>
        <v>Bond not alive on calculation date</v>
      </c>
      <c r="AE176" s="12"/>
      <c r="AF176" s="12"/>
      <c r="AG176" s="12"/>
      <c r="AH176" s="14"/>
      <c r="AI176" s="14"/>
      <c r="AJ176" s="14"/>
      <c r="AK176" s="246" t="str">
        <f>IF(ISNUMBER($D176),_xll.xlBondAswSpread($F176&amp;T(TYPE($AV$1)),$H176,$G176,$J176,$K176,$L176,$M176,$D176,$W176,IF(NOT($H176),TRUE,FALSE),curveName,curveName,,,2),"")</f>
        <v>Bond not alive on calculation date</v>
      </c>
      <c r="AL176" s="213" t="e">
        <f>IF($W176&gt;0,_xll.xlBondZSpread(F176&amp;T(TYPE($AV$1)),H176,G176,J176,K176,L176,M176,D176,U176,"annual",5,IF(NOT($H176),TRUE,FALSE),curveName)*100,"")</f>
        <v>#VALUE!</v>
      </c>
      <c r="AM176" s="266">
        <f>(-IF($AL$9="",VLOOKUP(VLOOKUP(E176,'DB Basis'!$D$2:$H$65205,4,0),Bonds!$AR$1:$AS$6,2,0),$AL$9)*VLOOKUP(E176,'DB Basis'!$D$2:$E$65205,2,0))+IF(V176="",W176,V176)</f>
        <v>4.6615700000000118</v>
      </c>
      <c r="AN176" s="274" t="str">
        <f>IF($AN$9+(($AL$9-$AM$9))*('DB Basis'!F336/10-'DB Basis'!E336),," ")</f>
        <v xml:space="preserve"> </v>
      </c>
      <c r="AO176" s="639">
        <f>IF(U176&gt;0,_xll.xlShmImplSwap2(curveName&amp;T(TYPE($AV$1)),curveName,D176,G176,,1,8,2,4),"")</f>
        <v>8.5992684748360908E-3</v>
      </c>
      <c r="AP176" s="640" t="str">
        <f t="shared" si="21"/>
        <v>-</v>
      </c>
      <c r="AQ176" s="386" t="str">
        <f t="shared" si="22"/>
        <v>-</v>
      </c>
      <c r="AR176" s="386" t="str">
        <f t="shared" si="23"/>
        <v>-</v>
      </c>
      <c r="AS176" s="388"/>
      <c r="AT176" s="242" t="str">
        <f t="shared" si="24"/>
        <v>-</v>
      </c>
      <c r="AU176" s="686" t="str">
        <f t="shared" si="19"/>
        <v>BUND  15-Aug-26  0</v>
      </c>
      <c r="AV176" s="702"/>
      <c r="AW176" s="684"/>
      <c r="AX176" s="684"/>
      <c r="AY176" s="684"/>
      <c r="AZ176" s="684"/>
      <c r="BA176" s="684"/>
      <c r="BB176" s="683"/>
      <c r="BC176" s="696"/>
      <c r="BE176" s="706">
        <f>_xll.xlDateShiftMonth(BE175,1)</f>
        <v>48210</v>
      </c>
      <c r="BF176" s="707">
        <v>2.3337800105886531E-2</v>
      </c>
      <c r="BU176" s="133" t="s">
        <v>599</v>
      </c>
      <c r="BV176" s="133" t="s">
        <v>599</v>
      </c>
      <c r="BW176" s="133" t="s">
        <v>599</v>
      </c>
      <c r="BX176" s="133" t="s">
        <v>599</v>
      </c>
      <c r="BY176" s="133" t="s">
        <v>599</v>
      </c>
      <c r="BZ176" s="133" t="s">
        <v>599</v>
      </c>
      <c r="CA176" s="133" t="s">
        <v>599</v>
      </c>
      <c r="CB176" s="133" t="s">
        <v>599</v>
      </c>
      <c r="CC176" s="133" t="s">
        <v>599</v>
      </c>
      <c r="CD176" s="133" t="s">
        <v>599</v>
      </c>
      <c r="CE176" s="133" t="s">
        <v>599</v>
      </c>
      <c r="CF176" s="133" t="s">
        <v>599</v>
      </c>
    </row>
    <row r="177" spans="1:84">
      <c r="A177" s="10"/>
      <c r="B177" s="11"/>
      <c r="C177" s="12"/>
      <c r="D177" s="720">
        <f>MAX(_xll.xlDateSettle("TARGET",$D$4,2),L177)</f>
        <v>43179</v>
      </c>
      <c r="E177" s="718" t="s">
        <v>919</v>
      </c>
      <c r="F177" s="13" t="s">
        <v>1413</v>
      </c>
      <c r="G177" s="35">
        <v>46433</v>
      </c>
      <c r="H177" s="37">
        <v>0.25</v>
      </c>
      <c r="I177" s="11">
        <v>46433</v>
      </c>
      <c r="J177" s="11">
        <v>42748</v>
      </c>
      <c r="K177" s="11">
        <v>43146</v>
      </c>
      <c r="L177" s="11">
        <v>42748</v>
      </c>
      <c r="M177" s="12">
        <v>98.91</v>
      </c>
      <c r="N177" s="12" t="s">
        <v>1489</v>
      </c>
      <c r="O177" s="12" t="s">
        <v>1197</v>
      </c>
      <c r="P177" s="12" t="s">
        <v>1490</v>
      </c>
      <c r="Q177" s="15">
        <v>26000000000</v>
      </c>
      <c r="R177" s="12"/>
      <c r="S177" s="43">
        <f>_xll.RtGet("IDN",$X177,$S$9)</f>
        <v>98.182000000000002</v>
      </c>
      <c r="T177" s="43">
        <f>_xll.RtGet("IDN",$X177,$T$9)</f>
        <v>98.212000000000003</v>
      </c>
      <c r="U177" s="25">
        <f t="shared" si="25"/>
        <v>98.197000000000003</v>
      </c>
      <c r="V177" s="12"/>
      <c r="W177" s="25">
        <f t="shared" si="26"/>
        <v>98.197000000000003</v>
      </c>
      <c r="X177" s="14" t="str">
        <f t="shared" si="20"/>
        <v>DE110241=</v>
      </c>
      <c r="Y177" s="14"/>
      <c r="Z177" s="14"/>
      <c r="AA177" s="14"/>
      <c r="AB177" s="14"/>
      <c r="AC177" s="14"/>
      <c r="AD177" s="34">
        <f>IF(ISNUMBER($D177),_xll.xlBondYield($F177,$H177,$G177,$J177,$K177,$L177,$M177,$D177,$W177,IF(NOT($H177),TRUE,FALSE)),"")</f>
        <v>4.569703624790704E-3</v>
      </c>
      <c r="AE177" s="12"/>
      <c r="AF177" s="12"/>
      <c r="AG177" s="12"/>
      <c r="AH177" s="14"/>
      <c r="AI177" s="14"/>
      <c r="AJ177" s="14"/>
      <c r="AK177" s="246">
        <f>IF(ISNUMBER($D177),_xll.xlBondAswSpread($F177&amp;T(TYPE($AV$1)),$H177,$G177,$J177,$K177,$L177,$M177,$D177,$W177,IF(NOT($H177),TRUE,FALSE),curveName,curveName,,,2),"")</f>
        <v>-0.44638069307034739</v>
      </c>
      <c r="AL177" s="213">
        <f>IF($W177&gt;0,_xll.xlBondZSpread(F177&amp;T(TYPE($AV$1)),H177,G177,J177,K177,L177,M177,D177,U177,"annual",5,IF(NOT($H177),TRUE,FALSE),curveName)*100,"")</f>
        <v>-46.662120977056134</v>
      </c>
      <c r="AM177" s="266">
        <f>(-IF($AL$9="",VLOOKUP(VLOOKUP(E177,'DB Basis'!$D$2:$H$65205,4,0),Bonds!$AR$1:$AS$6,2,0),$AL$9)*VLOOKUP(E177,'DB Basis'!$D$2:$E$65205,2,0))+IF(V177="",W177,V177)</f>
        <v>0.24649676500000339</v>
      </c>
      <c r="AN177" s="274" t="str">
        <f>IF($AN$9+(($AL$9-$AM$9))*('DB Basis'!F337/10-'DB Basis'!E337),," ")</f>
        <v xml:space="preserve"> </v>
      </c>
      <c r="AO177" s="639">
        <f>IF(U177&gt;0,_xll.xlShmImplSwap2(curveName&amp;T(TYPE($AV$1)),curveName,D177,G177,,1,8,2,4),"")</f>
        <v>9.1294255419064382E-3</v>
      </c>
      <c r="AP177" s="640">
        <f t="shared" si="21"/>
        <v>-4.5597219171157341E-3</v>
      </c>
      <c r="AQ177" s="386" t="str">
        <f t="shared" si="22"/>
        <v>-</v>
      </c>
      <c r="AR177" s="386" t="str">
        <f t="shared" si="23"/>
        <v>-</v>
      </c>
      <c r="AS177" s="388"/>
      <c r="AT177" s="242">
        <f t="shared" si="24"/>
        <v>0.45071049449990508</v>
      </c>
      <c r="AU177" s="686" t="str">
        <f t="shared" si="19"/>
        <v>BUND  15-Feb-27  0.25</v>
      </c>
      <c r="AV177" s="702"/>
      <c r="AW177" s="684"/>
      <c r="AX177" s="684"/>
      <c r="AY177" s="684"/>
      <c r="AZ177" s="684"/>
      <c r="BA177" s="684"/>
      <c r="BB177" s="683"/>
      <c r="BC177" s="696"/>
      <c r="BE177" s="706">
        <f>_xll.xlDateShiftMonth(BE176,1)</f>
        <v>48241</v>
      </c>
      <c r="BF177" s="707">
        <v>2.3407898476670349E-2</v>
      </c>
      <c r="BU177" s="133" t="s">
        <v>599</v>
      </c>
      <c r="BV177" s="133" t="s">
        <v>599</v>
      </c>
      <c r="BW177" s="133" t="s">
        <v>599</v>
      </c>
      <c r="BX177" s="133" t="s">
        <v>599</v>
      </c>
      <c r="BY177" s="133" t="s">
        <v>599</v>
      </c>
      <c r="BZ177" s="133" t="s">
        <v>599</v>
      </c>
      <c r="CA177" s="133" t="s">
        <v>599</v>
      </c>
      <c r="CB177" s="133" t="s">
        <v>599</v>
      </c>
      <c r="CC177" s="133" t="s">
        <v>599</v>
      </c>
      <c r="CD177" s="133" t="s">
        <v>599</v>
      </c>
      <c r="CE177" s="133" t="s">
        <v>599</v>
      </c>
      <c r="CF177" s="133" t="s">
        <v>599</v>
      </c>
    </row>
    <row r="178" spans="1:84">
      <c r="A178" s="10"/>
      <c r="B178" s="11"/>
      <c r="C178" s="12"/>
      <c r="D178" s="720">
        <f>MAX(_xll.xlDateSettle("TARGET",$D$4,2),L178)</f>
        <v>43179</v>
      </c>
      <c r="E178" s="718" t="s">
        <v>649</v>
      </c>
      <c r="F178" s="13" t="s">
        <v>1413</v>
      </c>
      <c r="G178" s="35">
        <v>46572</v>
      </c>
      <c r="H178" s="37">
        <v>6.5</v>
      </c>
      <c r="I178" s="11">
        <v>46572</v>
      </c>
      <c r="J178" s="11">
        <v>35615</v>
      </c>
      <c r="K178" s="11">
        <v>35980</v>
      </c>
      <c r="L178" s="11">
        <v>35615</v>
      </c>
      <c r="M178" s="12">
        <v>103.89</v>
      </c>
      <c r="N178" s="12" t="s">
        <v>1491</v>
      </c>
      <c r="O178" s="12" t="s">
        <v>1178</v>
      </c>
      <c r="P178" s="12" t="s">
        <v>1492</v>
      </c>
      <c r="Q178" s="15">
        <v>11250000000</v>
      </c>
      <c r="R178" s="12"/>
      <c r="S178" s="43">
        <f>_xll.RtGet("IDN",$X178,$S$9)</f>
        <v>154.92500000000001</v>
      </c>
      <c r="T178" s="43">
        <f>_xll.RtGet("IDN",$X178,$T$9)</f>
        <v>155.065</v>
      </c>
      <c r="U178" s="25">
        <f t="shared" si="25"/>
        <v>154.995</v>
      </c>
      <c r="V178" s="12"/>
      <c r="W178" s="25">
        <f t="shared" si="26"/>
        <v>154.995</v>
      </c>
      <c r="X178" s="14" t="str">
        <f t="shared" si="20"/>
        <v>DE113504=</v>
      </c>
      <c r="Y178" s="14"/>
      <c r="Z178" s="14"/>
      <c r="AA178" s="14"/>
      <c r="AB178" s="14"/>
      <c r="AC178" s="14"/>
      <c r="AD178" s="34">
        <f>IF(ISNUMBER($D178),_xll.xlBondYield($F178,$H178,$G178,$J178,$K178,$L178,$M178,$D178,$W178,IF(NOT($H178),TRUE,FALSE)),"")</f>
        <v>4.4405405200798748E-3</v>
      </c>
      <c r="AE178" s="12"/>
      <c r="AF178" s="12"/>
      <c r="AG178" s="12"/>
      <c r="AH178" s="14"/>
      <c r="AI178" s="14"/>
      <c r="AJ178" s="14"/>
      <c r="AK178" s="246">
        <f>IF(ISNUMBER($D178),_xll.xlBondAswSpread($F178&amp;T(TYPE($AV$1)),$H178,$G178,$J178,$K178,$L178,$M178,$D178,$W178,IF(NOT($H178),TRUE,FALSE),curveName,curveName,,,2),"")</f>
        <v>-0.54165027826489831</v>
      </c>
      <c r="AL178" s="213">
        <f>IF($W178&gt;0,_xll.xlBondZSpread(F178&amp;T(TYPE($AV$1)),H178,G178,J178,K178,L178,M178,D178,U178,"annual",5,IF(NOT($H178),TRUE,FALSE),curveName)*100,"")</f>
        <v>-42.763651694463995</v>
      </c>
      <c r="AM178" s="266">
        <f>(-IF($AL$9="",VLOOKUP(VLOOKUP(E178,'DB Basis'!$D$2:$H$65205,4,0),Bonds!$AR$1:$AS$6,2,0),$AL$9)*VLOOKUP(E178,'DB Basis'!$D$2:$E$65205,2,0))+IF(V178="",W178,V178)</f>
        <v>20.122905000000003</v>
      </c>
      <c r="AN178" s="274" t="str">
        <f>IF($AN$9+(($AL$9-$AM$9))*('DB Basis'!F338/10-'DB Basis'!E338),," ")</f>
        <v xml:space="preserve"> </v>
      </c>
      <c r="AO178" s="639">
        <f>IF(U178&gt;0,_xll.xlShmImplSwap2(curveName&amp;T(TYPE($AV$1)),curveName,D178,G178,,1,8,2,4),"")</f>
        <v>9.4977430971011148E-3</v>
      </c>
      <c r="AP178" s="640">
        <f t="shared" si="21"/>
        <v>-5.05720257702124E-3</v>
      </c>
      <c r="AQ178" s="386">
        <f t="shared" si="22"/>
        <v>-3.3916930373706968</v>
      </c>
      <c r="AR178" s="386">
        <f t="shared" si="23"/>
        <v>-13.063341069461124</v>
      </c>
      <c r="AS178" s="388"/>
      <c r="AT178" s="242">
        <f t="shared" si="24"/>
        <v>0.43797111978869996</v>
      </c>
      <c r="AU178" s="686" t="str">
        <f t="shared" si="19"/>
        <v>BUND  04-Jul-27  6.5</v>
      </c>
      <c r="AV178" s="702"/>
      <c r="AW178" s="684"/>
      <c r="AX178" s="684"/>
      <c r="AY178" s="684"/>
      <c r="AZ178" s="684"/>
      <c r="BA178" s="684"/>
      <c r="BB178" s="683"/>
      <c r="BC178" s="696"/>
      <c r="BE178" s="706">
        <f>_xll.xlDateShiftMonth(BE177,1)</f>
        <v>48272</v>
      </c>
      <c r="BF178" s="707">
        <v>2.347713030407849E-2</v>
      </c>
      <c r="BU178" s="133" t="s">
        <v>599</v>
      </c>
      <c r="BV178" s="133" t="s">
        <v>599</v>
      </c>
      <c r="BW178" s="133" t="s">
        <v>599</v>
      </c>
      <c r="BX178" s="133" t="s">
        <v>599</v>
      </c>
      <c r="BY178" s="133" t="s">
        <v>599</v>
      </c>
      <c r="BZ178" s="133" t="s">
        <v>599</v>
      </c>
      <c r="CA178" s="133" t="s">
        <v>599</v>
      </c>
      <c r="CB178" s="133" t="s">
        <v>599</v>
      </c>
      <c r="CC178" s="133" t="s">
        <v>599</v>
      </c>
      <c r="CD178" s="133" t="s">
        <v>599</v>
      </c>
      <c r="CE178" s="133" t="s">
        <v>599</v>
      </c>
      <c r="CF178" s="133" t="s">
        <v>599</v>
      </c>
    </row>
    <row r="179" spans="1:84">
      <c r="A179" s="10"/>
      <c r="B179" s="11"/>
      <c r="C179" s="12"/>
      <c r="D179" s="720">
        <f>MAX(_xll.xlDateSettle("TARGET",$D$4,2),L179)</f>
        <v>43179</v>
      </c>
      <c r="E179" s="718" t="s">
        <v>991</v>
      </c>
      <c r="F179" s="13" t="s">
        <v>1413</v>
      </c>
      <c r="G179" s="35">
        <v>46614</v>
      </c>
      <c r="H179" s="37">
        <v>0.5</v>
      </c>
      <c r="I179" s="11">
        <v>46614</v>
      </c>
      <c r="J179" s="11">
        <v>42930</v>
      </c>
      <c r="K179" s="11">
        <v>43327</v>
      </c>
      <c r="L179" s="11">
        <v>42930</v>
      </c>
      <c r="M179" s="12">
        <v>99.1</v>
      </c>
      <c r="N179" s="12" t="s">
        <v>599</v>
      </c>
      <c r="O179" s="12" t="s">
        <v>1178</v>
      </c>
      <c r="P179" s="12" t="s">
        <v>1493</v>
      </c>
      <c r="Q179" s="15">
        <v>25000000000</v>
      </c>
      <c r="R179" s="12"/>
      <c r="S179" s="43">
        <f>_xll.RtGet("IDN",$X179,$S$9)</f>
        <v>99.8</v>
      </c>
      <c r="T179" s="43">
        <f>_xll.RtGet("IDN",$X179,$T$9)</f>
        <v>99.850000000000009</v>
      </c>
      <c r="U179" s="25">
        <f t="shared" si="25"/>
        <v>99.825000000000003</v>
      </c>
      <c r="V179" s="12"/>
      <c r="W179" s="25">
        <f t="shared" si="26"/>
        <v>99.825000000000003</v>
      </c>
      <c r="X179" s="14" t="str">
        <f t="shared" si="20"/>
        <v>DE110242=</v>
      </c>
      <c r="Y179" s="14"/>
      <c r="Z179" s="14"/>
      <c r="AA179" s="14"/>
      <c r="AB179" s="14"/>
      <c r="AC179" s="14"/>
      <c r="AD179" s="34">
        <f>IF(ISNUMBER($D179),_xll.xlBondYield($F179,$H179,$G179,$J179,$K179,$L179,$M179,$D179,$W179,IF(NOT($H179),TRUE,FALSE)),"")</f>
        <v>5.1906817239435969E-3</v>
      </c>
      <c r="AE179" s="12"/>
      <c r="AF179" s="12"/>
      <c r="AG179" s="12"/>
      <c r="AH179" s="14"/>
      <c r="AI179" s="14"/>
      <c r="AJ179" s="14"/>
      <c r="AK179" s="246">
        <f>IF(ISNUMBER($D179),_xll.xlBondAswSpread($F179&amp;T(TYPE($AV$1)),$H179,$G179,$J179,$K179,$L179,$M179,$D179,$W179,IF(NOT($H179),TRUE,FALSE),curveName,curveName,,,2),"")</f>
        <v>-0.43390285144751983</v>
      </c>
      <c r="AL179" s="213">
        <f>IF($W179&gt;0,_xll.xlBondZSpread(F179&amp;T(TYPE($AV$1)),H179,G179,J179,K179,L179,M179,D179,U179,"annual",5,IF(NOT($H179),TRUE,FALSE),curveName)*100,"")</f>
        <v>-44.999567969590515</v>
      </c>
      <c r="AM179" s="266">
        <f>(-IF($AL$9="",VLOOKUP(VLOOKUP(E179,'DB Basis'!$D$2:$H$65205,4,0),Bonds!$AR$1:$AS$6,2,0),$AL$9)*VLOOKUP(E179,'DB Basis'!$D$2:$E$65205,2,0))+IF(V179="",W179,V179)</f>
        <v>1.7494277999999923</v>
      </c>
      <c r="AN179" s="274" t="str">
        <f>IF($AN$9+(($AL$9-$AM$9))*('DB Basis'!F339/10-'DB Basis'!E339),," ")</f>
        <v xml:space="preserve"> </v>
      </c>
      <c r="AO179" s="639">
        <f>IF(U179&gt;0,_xll.xlShmImplSwap2(curveName&amp;T(TYPE($AV$1)),curveName,D179,G179,,1,8,2,4),"")</f>
        <v>9.6085640563080676E-3</v>
      </c>
      <c r="AP179" s="640">
        <f t="shared" si="21"/>
        <v>-4.4178823323644707E-3</v>
      </c>
      <c r="AQ179" s="386">
        <f t="shared" si="22"/>
        <v>65.190842716728241</v>
      </c>
      <c r="AR179" s="386">
        <f t="shared" si="23"/>
        <v>55.559973642790673</v>
      </c>
      <c r="AS179" s="388"/>
      <c r="AT179" s="242">
        <f t="shared" si="24"/>
        <v>0.51195764948484801</v>
      </c>
      <c r="AU179" s="686" t="str">
        <f t="shared" si="19"/>
        <v>BUND  15-Aug-27  0.5</v>
      </c>
      <c r="AV179" s="702"/>
      <c r="AW179" s="684"/>
      <c r="AX179" s="684"/>
      <c r="AY179" s="684"/>
      <c r="AZ179" s="684"/>
      <c r="BA179" s="684"/>
      <c r="BB179" s="683"/>
      <c r="BC179" s="696"/>
      <c r="BE179" s="706">
        <f>_xll.xlDateShiftMonth(BE178,1)</f>
        <v>48301</v>
      </c>
      <c r="BF179" s="707">
        <v>2.3541103724140366E-2</v>
      </c>
      <c r="BU179" s="133" t="s">
        <v>599</v>
      </c>
      <c r="BV179" s="133" t="s">
        <v>599</v>
      </c>
      <c r="BW179" s="133" t="s">
        <v>599</v>
      </c>
      <c r="BX179" s="133" t="s">
        <v>599</v>
      </c>
      <c r="BY179" s="133" t="s">
        <v>599</v>
      </c>
      <c r="BZ179" s="133" t="s">
        <v>599</v>
      </c>
      <c r="CA179" s="133" t="s">
        <v>599</v>
      </c>
      <c r="CB179" s="133" t="s">
        <v>599</v>
      </c>
      <c r="CC179" s="133" t="s">
        <v>599</v>
      </c>
      <c r="CD179" s="133" t="s">
        <v>599</v>
      </c>
      <c r="CE179" s="133" t="s">
        <v>599</v>
      </c>
      <c r="CF179" s="133" t="s">
        <v>599</v>
      </c>
    </row>
    <row r="180" spans="1:84">
      <c r="A180" s="10"/>
      <c r="B180" s="11"/>
      <c r="C180" s="12"/>
      <c r="D180" s="720">
        <f>MAX(_xll.xlDateSettle("TARGET",$D$4,2),L180)</f>
        <v>43179</v>
      </c>
      <c r="E180" s="718" t="s">
        <v>650</v>
      </c>
      <c r="F180" s="13" t="s">
        <v>1413</v>
      </c>
      <c r="G180" s="35">
        <v>46756</v>
      </c>
      <c r="H180" s="37">
        <v>5.625</v>
      </c>
      <c r="I180" s="11">
        <v>46756</v>
      </c>
      <c r="J180" s="11">
        <v>35799</v>
      </c>
      <c r="K180" s="11">
        <v>36164</v>
      </c>
      <c r="L180" s="11">
        <v>35818</v>
      </c>
      <c r="M180" s="12">
        <v>101.74</v>
      </c>
      <c r="N180" s="12" t="s">
        <v>1494</v>
      </c>
      <c r="O180" s="12" t="s">
        <v>1178</v>
      </c>
      <c r="P180" s="12" t="s">
        <v>1495</v>
      </c>
      <c r="Q180" s="15">
        <v>14500000000</v>
      </c>
      <c r="R180" s="12"/>
      <c r="S180" s="43">
        <f>_xll.RtGet("IDN",$X180,$S$9)</f>
        <v>148.751</v>
      </c>
      <c r="T180" s="43">
        <f>_xll.RtGet("IDN",$X180,$T$9)</f>
        <v>148.80100000000002</v>
      </c>
      <c r="U180" s="25">
        <f t="shared" si="25"/>
        <v>148.77600000000001</v>
      </c>
      <c r="V180" s="12"/>
      <c r="W180" s="25">
        <f t="shared" si="26"/>
        <v>148.77600000000001</v>
      </c>
      <c r="X180" s="14" t="str">
        <f t="shared" si="20"/>
        <v>DE113506=</v>
      </c>
      <c r="Y180" s="14"/>
      <c r="Z180" s="14"/>
      <c r="AA180" s="14"/>
      <c r="AB180" s="14"/>
      <c r="AC180" s="14"/>
      <c r="AD180" s="34">
        <f>IF(ISNUMBER($D180),_xll.xlBondYield($F180,$H180,$G180,$J180,$K180,$L180,$M180,$D180,$W180,IF(NOT($H180),TRUE,FALSE)),"")</f>
        <v>5.0743029690815539E-3</v>
      </c>
      <c r="AE180" s="12"/>
      <c r="AF180" s="12"/>
      <c r="AG180" s="12"/>
      <c r="AH180" s="14"/>
      <c r="AI180" s="14"/>
      <c r="AJ180" s="14"/>
      <c r="AK180" s="246">
        <f>IF(ISNUMBER($D180),_xll.xlBondAswSpread($F180&amp;T(TYPE($AV$1)),$H180,$G180,$J180,$K180,$L180,$M180,$D180,$W180,IF(NOT($H180),TRUE,FALSE),curveName,curveName,,,2),"")</f>
        <v>-0.51533280727319841</v>
      </c>
      <c r="AL180" s="213">
        <f>IF($W180&gt;0,_xll.xlBondZSpread(F180&amp;T(TYPE($AV$1)),H180,G180,J180,K180,L180,M180,D180,U180,"annual",5,IF(NOT($H180),TRUE,FALSE),curveName)*100,"")</f>
        <v>-41.896356788766219</v>
      </c>
      <c r="AM180" s="266">
        <f>(-IF($AL$9="",VLOOKUP(VLOOKUP(E180,'DB Basis'!$D$2:$H$65205,4,0),Bonds!$AR$1:$AS$6,2,0),$AL$9)*VLOOKUP(E180,'DB Basis'!$D$2:$E$65205,2,0))+IF(V180="",W180,V180)</f>
        <v>11.374065000000002</v>
      </c>
      <c r="AN180" s="274" t="str">
        <f>IF($AN$9+(($AL$9-$AM$9))*('DB Basis'!F340/10-'DB Basis'!E340),," ")</f>
        <v xml:space="preserve"> </v>
      </c>
      <c r="AO180" s="639">
        <f>IF(U180&gt;0,_xll.xlShmImplSwap2(curveName&amp;T(TYPE($AV$1)),curveName,D180,G180,,1,8,2,4),"")</f>
        <v>9.9786778996376838E-3</v>
      </c>
      <c r="AP180" s="640">
        <f t="shared" si="21"/>
        <v>-4.90437493055613E-3</v>
      </c>
      <c r="AQ180" s="386">
        <f t="shared" si="22"/>
        <v>-2.9914257411722316</v>
      </c>
      <c r="AR180" s="386">
        <f t="shared" si="23"/>
        <v>-12.504915376053212</v>
      </c>
      <c r="AS180" s="388"/>
      <c r="AT180" s="242">
        <f t="shared" si="24"/>
        <v>0.50047919695050946</v>
      </c>
      <c r="AU180" s="686" t="str">
        <f t="shared" si="19"/>
        <v>BUND  04-Jan-28  5.625</v>
      </c>
      <c r="AV180" s="702"/>
      <c r="AW180" s="684"/>
      <c r="AX180" s="684"/>
      <c r="AY180" s="684"/>
      <c r="AZ180" s="684"/>
      <c r="BA180" s="684"/>
      <c r="BB180" s="683"/>
      <c r="BC180" s="696"/>
      <c r="BE180" s="706">
        <f>_xll.xlDateShiftMonth(BE179,1)</f>
        <v>48332</v>
      </c>
      <c r="BF180" s="707">
        <v>2.3608634799886064E-2</v>
      </c>
      <c r="BU180" s="133" t="s">
        <v>599</v>
      </c>
      <c r="BV180" s="133" t="s">
        <v>599</v>
      </c>
      <c r="BW180" s="133" t="s">
        <v>599</v>
      </c>
      <c r="BX180" s="133" t="s">
        <v>599</v>
      </c>
      <c r="BY180" s="133" t="s">
        <v>599</v>
      </c>
      <c r="BZ180" s="133" t="s">
        <v>599</v>
      </c>
      <c r="CA180" s="133" t="s">
        <v>599</v>
      </c>
      <c r="CB180" s="133" t="s">
        <v>599</v>
      </c>
      <c r="CC180" s="133" t="s">
        <v>599</v>
      </c>
      <c r="CD180" s="133" t="s">
        <v>599</v>
      </c>
      <c r="CE180" s="133" t="s">
        <v>599</v>
      </c>
      <c r="CF180" s="133" t="s">
        <v>599</v>
      </c>
    </row>
    <row r="181" spans="1:84">
      <c r="A181" s="10"/>
      <c r="B181" s="11"/>
      <c r="C181" s="12"/>
      <c r="D181" s="720">
        <f>MAX(_xll.xlDateSettle("TARGET",$D$4,2),L181)</f>
        <v>43179</v>
      </c>
      <c r="E181" s="718" t="s">
        <v>1701</v>
      </c>
      <c r="F181" s="13" t="s">
        <v>1413</v>
      </c>
      <c r="G181" s="35">
        <v>46798</v>
      </c>
      <c r="H181" s="37">
        <v>0.5</v>
      </c>
      <c r="I181" s="11">
        <v>46798</v>
      </c>
      <c r="J181" s="11">
        <v>43112</v>
      </c>
      <c r="K181" s="11">
        <v>43511</v>
      </c>
      <c r="L181" s="11">
        <v>43112</v>
      </c>
      <c r="M181" s="12">
        <v>99.63</v>
      </c>
      <c r="N181" s="12" t="s">
        <v>1702</v>
      </c>
      <c r="O181" s="12" t="s">
        <v>1197</v>
      </c>
      <c r="P181" s="12" t="s">
        <v>1703</v>
      </c>
      <c r="Q181" s="15">
        <v>11000000000</v>
      </c>
      <c r="R181" s="12"/>
      <c r="S181" s="43">
        <f>_xll.RtGet("IDN",$X181,$S$9)</f>
        <v>99.25</v>
      </c>
      <c r="T181" s="43">
        <f>_xll.RtGet("IDN",$X181,$T$9)</f>
        <v>99.28</v>
      </c>
      <c r="U181" s="25">
        <f t="shared" si="25"/>
        <v>99.265000000000001</v>
      </c>
      <c r="V181" s="12"/>
      <c r="W181" s="25">
        <f t="shared" si="26"/>
        <v>99.265000000000001</v>
      </c>
      <c r="X181" s="14" t="str">
        <f t="shared" si="20"/>
        <v>DE110244=</v>
      </c>
      <c r="Y181" s="14"/>
      <c r="Z181" s="14"/>
      <c r="AA181" s="14"/>
      <c r="AB181" s="14"/>
      <c r="AC181" s="14"/>
      <c r="AD181" s="34">
        <f>IF(ISNUMBER($D181),_xll.xlBondYield($F181,$H181,$G181,$J181,$K181,$L181,$M181,$D181,$W181,IF(NOT($H181),TRUE,FALSE)),"")</f>
        <v>5.7648528353735082E-3</v>
      </c>
      <c r="AE181" s="12"/>
      <c r="AF181" s="12"/>
      <c r="AG181" s="12"/>
      <c r="AH181" s="14"/>
      <c r="AI181" s="14"/>
      <c r="AJ181" s="14"/>
      <c r="AK181" s="246">
        <f>IF(ISNUMBER($D181),_xll.xlBondAswSpread($F181&amp;T(TYPE($AV$1)),$H181,$G181,$J181,$K181,$L181,$M181,$D181,$W181,IF(NOT($H181),TRUE,FALSE),curveName,curveName,,,2),"")</f>
        <v>-0.42390049315681932</v>
      </c>
      <c r="AL181" s="213">
        <f>IF($W181&gt;0,_xll.xlBondZSpread(F181&amp;T(TYPE($AV$1)),H181,G181,J181,K181,L181,M181,D181,U181,"annual",5,IF(NOT($H181),TRUE,FALSE),curveName)*100,"")</f>
        <v>-44.168341134762898</v>
      </c>
      <c r="AM181" s="266">
        <f>(-IF($AL$9="",VLOOKUP(VLOOKUP(E181,'DB Basis'!$D$2:$H$65205,4,0),Bonds!$AR$1:$AS$6,2,0),$AL$9)*VLOOKUP(E181,'DB Basis'!$D$2:$E$65205,2,0))+IF(V181="",W181,V181)</f>
        <v>3.6508040049999977</v>
      </c>
      <c r="AN181" s="274" t="str">
        <f>IF($AN$9+(($AL$9-$AM$9))*('DB Basis'!F341/10-'DB Basis'!E341),," ")</f>
        <v xml:space="preserve"> </v>
      </c>
      <c r="AO181" s="639">
        <f>IF(U181&gt;0,_xll.xlShmImplSwap2(curveName&amp;T(TYPE($AV$1)),curveName,D181,G181,,1,8,2,4),"")</f>
        <v>1.0089188503189213E-2</v>
      </c>
      <c r="AP181" s="640">
        <f t="shared" si="21"/>
        <v>-4.324335667815705E-3</v>
      </c>
      <c r="AQ181" s="386">
        <f t="shared" si="22"/>
        <v>60.012071713467463</v>
      </c>
      <c r="AR181" s="386">
        <f t="shared" si="23"/>
        <v>50.408174023870266</v>
      </c>
      <c r="AS181" s="388"/>
      <c r="AT181" s="242">
        <f t="shared" si="24"/>
        <v>0.56858822485875693</v>
      </c>
      <c r="AU181" s="686" t="str">
        <f t="shared" si="19"/>
        <v>BUND  15-Feb-28  0.5</v>
      </c>
      <c r="AV181" s="702"/>
      <c r="AW181" s="684"/>
      <c r="AX181" s="684"/>
      <c r="AY181" s="684"/>
      <c r="AZ181" s="684"/>
      <c r="BA181" s="684"/>
      <c r="BB181" s="683"/>
      <c r="BC181" s="696"/>
      <c r="BE181" s="706">
        <f>_xll.xlDateShiftMonth(BE180,1)</f>
        <v>48362</v>
      </c>
      <c r="BF181" s="707">
        <v>2.3673139283309858E-2</v>
      </c>
      <c r="BU181" s="133" t="s">
        <v>599</v>
      </c>
      <c r="BV181" s="133" t="s">
        <v>599</v>
      </c>
      <c r="BW181" s="133" t="s">
        <v>599</v>
      </c>
      <c r="BX181" s="133" t="s">
        <v>599</v>
      </c>
      <c r="BY181" s="133" t="s">
        <v>599</v>
      </c>
      <c r="BZ181" s="133" t="s">
        <v>599</v>
      </c>
      <c r="CA181" s="133" t="s">
        <v>599</v>
      </c>
      <c r="CB181" s="133" t="s">
        <v>599</v>
      </c>
      <c r="CC181" s="133" t="s">
        <v>599</v>
      </c>
      <c r="CD181" s="133" t="s">
        <v>599</v>
      </c>
      <c r="CE181" s="133" t="s">
        <v>599</v>
      </c>
      <c r="CF181" s="133" t="s">
        <v>599</v>
      </c>
    </row>
    <row r="182" spans="1:84">
      <c r="A182" s="10"/>
      <c r="B182" s="11"/>
      <c r="C182" s="12"/>
      <c r="D182" s="720">
        <f>MAX(_xll.xlDateSettle("TARGET",$D$4,2),L182)</f>
        <v>43179</v>
      </c>
      <c r="E182" s="718" t="s">
        <v>651</v>
      </c>
      <c r="F182" s="13" t="s">
        <v>1413</v>
      </c>
      <c r="G182" s="35">
        <v>46938</v>
      </c>
      <c r="H182" s="37">
        <v>4.75</v>
      </c>
      <c r="I182" s="11">
        <v>46938</v>
      </c>
      <c r="J182" s="11">
        <v>35980</v>
      </c>
      <c r="K182" s="11">
        <v>36345</v>
      </c>
      <c r="L182" s="11">
        <v>36077</v>
      </c>
      <c r="M182" s="12">
        <v>99.73</v>
      </c>
      <c r="N182" s="12" t="s">
        <v>1496</v>
      </c>
      <c r="O182" s="12" t="s">
        <v>1178</v>
      </c>
      <c r="P182" s="12" t="s">
        <v>1497</v>
      </c>
      <c r="Q182" s="15">
        <v>11250000000</v>
      </c>
      <c r="R182" s="12"/>
      <c r="S182" s="43">
        <f>_xll.RtGet("IDN",$X182,$S$9)</f>
        <v>141.79599999999999</v>
      </c>
      <c r="T182" s="43">
        <f>_xll.RtGet("IDN",$X182,$T$9)</f>
        <v>141.89600000000002</v>
      </c>
      <c r="U182" s="25">
        <f t="shared" si="25"/>
        <v>141.846</v>
      </c>
      <c r="V182" s="12"/>
      <c r="W182" s="25">
        <f t="shared" si="26"/>
        <v>141.846</v>
      </c>
      <c r="X182" s="14" t="str">
        <f t="shared" si="20"/>
        <v>DE113508=</v>
      </c>
      <c r="Y182" s="14"/>
      <c r="Z182" s="14"/>
      <c r="AA182" s="14"/>
      <c r="AB182" s="14"/>
      <c r="AC182" s="14"/>
      <c r="AD182" s="34">
        <f>IF(ISNUMBER($D182),_xll.xlBondYield($F182,$H182,$G182,$J182,$K182,$L182,$M182,$D182,$W182,IF(NOT($H182),TRUE,FALSE)),"")</f>
        <v>5.5477721176697692E-3</v>
      </c>
      <c r="AE182" s="12"/>
      <c r="AF182" s="12"/>
      <c r="AG182" s="12"/>
      <c r="AH182" s="14"/>
      <c r="AI182" s="14"/>
      <c r="AJ182" s="14"/>
      <c r="AK182" s="246">
        <f>IF(ISNUMBER($D182),_xll.xlBondAswSpread($F182&amp;T(TYPE($AV$1)),$H182,$G182,$J182,$K182,$L182,$M182,$D182,$W182,IF(NOT($H182),TRUE,FALSE),curveName,curveName,,,2),"")</f>
        <v>-0.50538519193320786</v>
      </c>
      <c r="AL182" s="213">
        <f>IF($W182&gt;0,_xll.xlBondZSpread(F182&amp;T(TYPE($AV$1)),H182,G182,J182,K182,L182,M182,D182,U182,"annual",5,IF(NOT($H182),TRUE,FALSE),curveName)*100,"")</f>
        <v>-42.465352091700339</v>
      </c>
      <c r="AM182" s="266">
        <f>(-IF($AL$9="",VLOOKUP(VLOOKUP(E182,'DB Basis'!$D$2:$H$65205,4,0),Bonds!$AR$1:$AS$6,2,0),$AL$9)*VLOOKUP(E182,'DB Basis'!$D$2:$E$65205,2,0))+IF(V182="",W182,V182)</f>
        <v>2.3885699999999872</v>
      </c>
      <c r="AN182" s="274" t="str">
        <f>IF($AN$9+(($AL$9-$AM$9))*('DB Basis'!F342/10-'DB Basis'!E342),," ")</f>
        <v xml:space="preserve"> </v>
      </c>
      <c r="AO182" s="639">
        <f>IF(U182&gt;0,_xll.xlShmImplSwap2(curveName&amp;T(TYPE($AV$1)),curveName,D182,G182,,1,8,2,4),"")</f>
        <v>1.0421101602632958E-2</v>
      </c>
      <c r="AP182" s="640">
        <f t="shared" si="21"/>
        <v>-4.8733294849631886E-3</v>
      </c>
      <c r="AQ182" s="386">
        <f t="shared" si="22"/>
        <v>-5.6596044258474816</v>
      </c>
      <c r="AR182" s="386">
        <f t="shared" si="23"/>
        <v>-14.313053089916536</v>
      </c>
      <c r="AS182" s="388"/>
      <c r="AT182" s="242">
        <f t="shared" si="24"/>
        <v>0.54717752393455255</v>
      </c>
      <c r="AU182" s="686" t="str">
        <f t="shared" si="19"/>
        <v>BUND  04-Jul-28  4.75</v>
      </c>
      <c r="AV182" s="702"/>
      <c r="AW182" s="684"/>
      <c r="AX182" s="684"/>
      <c r="AY182" s="684"/>
      <c r="AZ182" s="684"/>
      <c r="BA182" s="684"/>
      <c r="BB182" s="683"/>
      <c r="BC182" s="696"/>
      <c r="BE182" s="706">
        <f>_xll.xlDateShiftMonth(BE181,1)</f>
        <v>48393</v>
      </c>
      <c r="BF182" s="707">
        <v>2.3738909397599151E-2</v>
      </c>
      <c r="BU182" s="133" t="s">
        <v>599</v>
      </c>
      <c r="BV182" s="133" t="s">
        <v>599</v>
      </c>
      <c r="BW182" s="133" t="s">
        <v>599</v>
      </c>
      <c r="BX182" s="133" t="s">
        <v>599</v>
      </c>
      <c r="BY182" s="133" t="s">
        <v>599</v>
      </c>
      <c r="BZ182" s="133" t="s">
        <v>599</v>
      </c>
      <c r="CA182" s="133" t="s">
        <v>599</v>
      </c>
      <c r="CB182" s="133" t="s">
        <v>599</v>
      </c>
      <c r="CC182" s="133" t="s">
        <v>599</v>
      </c>
      <c r="CD182" s="133" t="s">
        <v>599</v>
      </c>
      <c r="CE182" s="133" t="s">
        <v>599</v>
      </c>
      <c r="CF182" s="133" t="s">
        <v>599</v>
      </c>
    </row>
    <row r="183" spans="1:84">
      <c r="A183" s="10"/>
      <c r="B183" s="11"/>
      <c r="C183" s="12"/>
      <c r="D183" s="720">
        <f>MAX(_xll.xlDateSettle("TARGET",$D$4,2),L183)</f>
        <v>43179</v>
      </c>
      <c r="E183" s="718" t="s">
        <v>652</v>
      </c>
      <c r="F183" s="13" t="s">
        <v>1413</v>
      </c>
      <c r="G183" s="35">
        <v>47487</v>
      </c>
      <c r="H183" s="37">
        <v>6.25</v>
      </c>
      <c r="I183" s="11">
        <v>47487</v>
      </c>
      <c r="J183" s="11">
        <v>36529</v>
      </c>
      <c r="K183" s="11">
        <v>36895</v>
      </c>
      <c r="L183" s="11">
        <v>36546</v>
      </c>
      <c r="M183" s="12">
        <v>100.06</v>
      </c>
      <c r="N183" s="12" t="s">
        <v>1498</v>
      </c>
      <c r="O183" s="12" t="s">
        <v>1178</v>
      </c>
      <c r="P183" s="12" t="s">
        <v>1499</v>
      </c>
      <c r="Q183" s="15">
        <v>9250000000</v>
      </c>
      <c r="R183" s="12"/>
      <c r="S183" s="43">
        <f>_xll.RtGet("IDN",$X183,$S$9)</f>
        <v>163.422</v>
      </c>
      <c r="T183" s="43">
        <f>_xll.RtGet("IDN",$X183,$T$9)</f>
        <v>163.542</v>
      </c>
      <c r="U183" s="25">
        <f t="shared" si="25"/>
        <v>163.482</v>
      </c>
      <c r="V183" s="12"/>
      <c r="W183" s="25">
        <f t="shared" si="26"/>
        <v>163.482</v>
      </c>
      <c r="X183" s="14" t="str">
        <f t="shared" si="20"/>
        <v>DE113514=</v>
      </c>
      <c r="Y183" s="14"/>
      <c r="Z183" s="14"/>
      <c r="AA183" s="14"/>
      <c r="AB183" s="14"/>
      <c r="AC183" s="14"/>
      <c r="AD183" s="34">
        <f>IF(ISNUMBER($D183),_xll.xlBondYield($F183,$H183,$G183,$J183,$K183,$L183,$M183,$D183,$W183,IF(NOT($H183),TRUE,FALSE)),"")</f>
        <v>6.4331788428871398E-3</v>
      </c>
      <c r="AE183" s="12"/>
      <c r="AF183" s="12"/>
      <c r="AG183" s="12"/>
      <c r="AH183" s="14"/>
      <c r="AI183" s="14"/>
      <c r="AJ183" s="14"/>
      <c r="AK183" s="246">
        <f>IF(ISNUMBER($D183),_xll.xlBondAswSpread($F183&amp;T(TYPE($AV$1)),$H183,$G183,$J183,$K183,$L183,$M183,$D183,$W183,IF(NOT($H183),TRUE,FALSE),curveName,curveName,,,2),"")</f>
        <v>-0.55746967390841073</v>
      </c>
      <c r="AL183" s="213">
        <f>IF($W183&gt;0,_xll.xlBondZSpread(F183&amp;T(TYPE($AV$1)),H183,G183,J183,K183,L183,M183,D183,U183,"annual",5,IF(NOT($H183),TRUE,FALSE),curveName)*100,"")</f>
        <v>-42.851330300416898</v>
      </c>
      <c r="AM183" s="266">
        <f>(-IF($AL$9="",VLOOKUP(VLOOKUP(E183,'DB Basis'!$D$2:$H$65205,4,0),Bonds!$AR$1:$AS$6,2,0),$AL$9)*VLOOKUP(E183,'DB Basis'!$D$2:$E$65205,2,0))+IF(V183="",W183,V183)</f>
        <v>-9.8120400000000245</v>
      </c>
      <c r="AN183" s="274" t="str">
        <f>IF($AN$9+(($AL$9-$AM$9))*('DB Basis'!F343/10-'DB Basis'!E343),," ")</f>
        <v xml:space="preserve"> </v>
      </c>
      <c r="AO183" s="639">
        <f>IF(U183&gt;0,_xll.xlShmImplSwap2(curveName&amp;T(TYPE($AV$1)),curveName,D183,G183,,1,8,2,4),"")</f>
        <v>1.1624198196297899E-2</v>
      </c>
      <c r="AP183" s="640">
        <f t="shared" si="21"/>
        <v>-5.1910193534107588E-3</v>
      </c>
      <c r="AQ183" s="386">
        <f t="shared" si="22"/>
        <v>5.8865838743959973</v>
      </c>
      <c r="AR183" s="386">
        <f t="shared" si="23"/>
        <v>-2.1121457556168148</v>
      </c>
      <c r="AS183" s="388"/>
      <c r="AT183" s="242">
        <f t="shared" si="24"/>
        <v>0.63450531053133441</v>
      </c>
      <c r="AU183" s="686" t="str">
        <f t="shared" si="19"/>
        <v>BUND  04-Jan-30  6.25</v>
      </c>
      <c r="AV183" s="702"/>
      <c r="AW183" s="684"/>
      <c r="AX183" s="684"/>
      <c r="AY183" s="684"/>
      <c r="AZ183" s="684"/>
      <c r="BA183" s="684"/>
      <c r="BB183" s="683"/>
      <c r="BC183" s="696"/>
      <c r="BE183" s="706">
        <f>_xll.xlDateShiftMonth(BE182,1)</f>
        <v>48423</v>
      </c>
      <c r="BF183" s="707">
        <v>2.3801694179321004E-2</v>
      </c>
      <c r="BU183" s="133" t="s">
        <v>599</v>
      </c>
      <c r="BV183" s="133" t="s">
        <v>599</v>
      </c>
      <c r="BW183" s="133" t="s">
        <v>599</v>
      </c>
      <c r="BX183" s="133" t="s">
        <v>599</v>
      </c>
      <c r="BY183" s="133" t="s">
        <v>599</v>
      </c>
      <c r="BZ183" s="133" t="s">
        <v>599</v>
      </c>
      <c r="CA183" s="133" t="s">
        <v>599</v>
      </c>
      <c r="CB183" s="133" t="s">
        <v>599</v>
      </c>
      <c r="CC183" s="133" t="s">
        <v>599</v>
      </c>
      <c r="CD183" s="133" t="s">
        <v>599</v>
      </c>
      <c r="CE183" s="133" t="s">
        <v>599</v>
      </c>
      <c r="CF183" s="133" t="s">
        <v>599</v>
      </c>
    </row>
    <row r="184" spans="1:84">
      <c r="A184" s="10"/>
      <c r="B184" s="11"/>
      <c r="C184" s="12"/>
      <c r="D184" s="720">
        <f>MAX(_xll.xlDateSettle("TARGET",$D$4,2),L184)</f>
        <v>43179</v>
      </c>
      <c r="E184" s="718" t="s">
        <v>653</v>
      </c>
      <c r="F184" s="13" t="s">
        <v>1413</v>
      </c>
      <c r="G184" s="35">
        <v>47852</v>
      </c>
      <c r="H184" s="37">
        <v>5.5</v>
      </c>
      <c r="I184" s="11">
        <v>47852</v>
      </c>
      <c r="J184" s="11">
        <v>36826</v>
      </c>
      <c r="K184" s="11">
        <v>37260</v>
      </c>
      <c r="L184" s="11">
        <v>36826</v>
      </c>
      <c r="M184" s="12">
        <v>99.64</v>
      </c>
      <c r="N184" s="12" t="s">
        <v>1500</v>
      </c>
      <c r="O184" s="12" t="s">
        <v>1197</v>
      </c>
      <c r="P184" s="12" t="s">
        <v>1501</v>
      </c>
      <c r="Q184" s="15">
        <v>17000000000</v>
      </c>
      <c r="R184" s="12"/>
      <c r="S184" s="43">
        <f>_xll.RtGet("IDN",$X184,$S$9)</f>
        <v>158.11799999999999</v>
      </c>
      <c r="T184" s="43">
        <f>_xll.RtGet("IDN",$X184,$T$9)</f>
        <v>158.268</v>
      </c>
      <c r="U184" s="25">
        <f t="shared" si="25"/>
        <v>158.19299999999998</v>
      </c>
      <c r="V184" s="12"/>
      <c r="W184" s="25">
        <f t="shared" si="26"/>
        <v>158.19299999999998</v>
      </c>
      <c r="X184" s="14" t="str">
        <f t="shared" si="20"/>
        <v>DE113517=</v>
      </c>
      <c r="Y184" s="14"/>
      <c r="Z184" s="14"/>
      <c r="AA184" s="14"/>
      <c r="AB184" s="14"/>
      <c r="AC184" s="14"/>
      <c r="AD184" s="34">
        <f>IF(ISNUMBER($D184),_xll.xlBondYield($F184,$H184,$G184,$J184,$K184,$L184,$M184,$D184,$W184,IF(NOT($H184),TRUE,FALSE)),"")</f>
        <v>7.2181952444976896E-3</v>
      </c>
      <c r="AE184" s="12"/>
      <c r="AF184" s="12"/>
      <c r="AG184" s="12"/>
      <c r="AH184" s="14"/>
      <c r="AI184" s="14"/>
      <c r="AJ184" s="14"/>
      <c r="AK184" s="246">
        <f>IF(ISNUMBER($D184),_xll.xlBondAswSpread($F184&amp;T(TYPE($AV$1)),$H184,$G184,$J184,$K184,$L184,$M184,$D184,$W184,IF(NOT($H184),TRUE,FALSE),curveName,curveName,,,2),"")</f>
        <v>-0.53880262116946742</v>
      </c>
      <c r="AL184" s="213">
        <f>IF($W184&gt;0,_xll.xlBondZSpread(F184&amp;T(TYPE($AV$1)),H184,G184,J184,K184,L184,M184,D184,U184,"annual",5,IF(NOT($H184),TRUE,FALSE),curveName)*100,"")</f>
        <v>-42.460877805686707</v>
      </c>
      <c r="AM184" s="266">
        <f>(-IF($AL$9="",VLOOKUP(VLOOKUP(E184,'DB Basis'!$D$2:$H$65205,4,0),Bonds!$AR$1:$AS$6,2,0),$AL$9)*VLOOKUP(E184,'DB Basis'!$D$2:$E$65205,2,0))+IF(V184="",W184,V184)</f>
        <v>-23.797365000000042</v>
      </c>
      <c r="AN184" s="274" t="str">
        <f>IF($AN$9+(($AL$9-$AM$9))*('DB Basis'!F344/10-'DB Basis'!E344),," ")</f>
        <v xml:space="preserve"> </v>
      </c>
      <c r="AO184" s="639">
        <f>IF(U184&gt;0,_xll.xlShmImplSwap2(curveName&amp;T(TYPE($AV$1)),curveName,D184,G184,,1,8,2,4),"")</f>
        <v>1.2299601970140905E-2</v>
      </c>
      <c r="AP184" s="640">
        <f t="shared" si="21"/>
        <v>-5.0814067256432158E-3</v>
      </c>
      <c r="AQ184" s="386">
        <f t="shared" si="22"/>
        <v>7.8501640161054986</v>
      </c>
      <c r="AR184" s="386">
        <f t="shared" si="23"/>
        <v>1.0961262776754306</v>
      </c>
      <c r="AS184" s="388"/>
      <c r="AT184" s="242">
        <f t="shared" si="24"/>
        <v>0.71193158575867632</v>
      </c>
      <c r="AU184" s="686" t="str">
        <f t="shared" si="19"/>
        <v>BUND  04-Jan-31  5.5</v>
      </c>
      <c r="AV184" s="702"/>
      <c r="AW184" s="684"/>
      <c r="AX184" s="684"/>
      <c r="AY184" s="684"/>
      <c r="AZ184" s="684"/>
      <c r="BA184" s="684"/>
      <c r="BB184" s="683"/>
      <c r="BC184" s="696"/>
      <c r="BE184" s="706">
        <f>_xll.xlDateShiftMonth(BE183,1)</f>
        <v>48454</v>
      </c>
      <c r="BF184" s="707">
        <v>2.3865671204882692E-2</v>
      </c>
      <c r="BU184" s="133" t="s">
        <v>599</v>
      </c>
      <c r="BV184" s="133" t="s">
        <v>599</v>
      </c>
      <c r="BW184" s="133" t="s">
        <v>599</v>
      </c>
      <c r="BX184" s="133" t="s">
        <v>599</v>
      </c>
      <c r="BY184" s="133" t="s">
        <v>599</v>
      </c>
      <c r="BZ184" s="133" t="s">
        <v>599</v>
      </c>
      <c r="CA184" s="133" t="s">
        <v>599</v>
      </c>
      <c r="CB184" s="133" t="s">
        <v>599</v>
      </c>
      <c r="CC184" s="133" t="s">
        <v>599</v>
      </c>
      <c r="CD184" s="133" t="s">
        <v>599</v>
      </c>
      <c r="CE184" s="133" t="s">
        <v>599</v>
      </c>
      <c r="CF184" s="133" t="s">
        <v>599</v>
      </c>
    </row>
    <row r="185" spans="1:84">
      <c r="A185" s="10"/>
      <c r="B185" s="11"/>
      <c r="C185" s="12"/>
      <c r="D185" s="720">
        <f>MAX(_xll.xlDateSettle("TARGET",$D$4,2),L185)</f>
        <v>43179</v>
      </c>
      <c r="E185" s="718" t="s">
        <v>654</v>
      </c>
      <c r="F185" s="13" t="s">
        <v>1413</v>
      </c>
      <c r="G185" s="35">
        <v>49129</v>
      </c>
      <c r="H185" s="37">
        <v>4.75</v>
      </c>
      <c r="I185" s="11">
        <v>49129</v>
      </c>
      <c r="J185" s="11">
        <v>37652</v>
      </c>
      <c r="K185" s="11">
        <v>38172</v>
      </c>
      <c r="L185" s="11">
        <v>37652</v>
      </c>
      <c r="M185" s="12">
        <v>102.9</v>
      </c>
      <c r="N185" s="12" t="s">
        <v>1502</v>
      </c>
      <c r="O185" s="12" t="s">
        <v>1178</v>
      </c>
      <c r="P185" s="12" t="s">
        <v>1503</v>
      </c>
      <c r="Q185" s="15">
        <v>20000000000</v>
      </c>
      <c r="R185" s="12"/>
      <c r="S185" s="43">
        <f>_xll.RtGet("IDN",$X185,$S$9)</f>
        <v>158.178</v>
      </c>
      <c r="T185" s="43">
        <f>_xll.RtGet("IDN",$X185,$T$9)</f>
        <v>158.22800000000001</v>
      </c>
      <c r="U185" s="25">
        <f t="shared" si="25"/>
        <v>158.203</v>
      </c>
      <c r="V185" s="12"/>
      <c r="W185" s="25">
        <f t="shared" si="26"/>
        <v>158.203</v>
      </c>
      <c r="X185" s="14" t="str">
        <f t="shared" si="20"/>
        <v>DE113522=</v>
      </c>
      <c r="Y185" s="14"/>
      <c r="Z185" s="14"/>
      <c r="AA185" s="14"/>
      <c r="AB185" s="14"/>
      <c r="AC185" s="14"/>
      <c r="AD185" s="34">
        <f>IF(ISNUMBER($D185),_xll.xlBondYield($F185,$H185,$G185,$J185,$K185,$L185,$M185,$D185,$W185,IF(NOT($H185),TRUE,FALSE)),"")</f>
        <v>8.943584008703865E-3</v>
      </c>
      <c r="AE185" s="12"/>
      <c r="AF185" s="12"/>
      <c r="AG185" s="12"/>
      <c r="AH185" s="14"/>
      <c r="AI185" s="14"/>
      <c r="AJ185" s="14"/>
      <c r="AK185" s="246">
        <f>IF(ISNUMBER($D185),_xll.xlBondAswSpread($F185&amp;T(TYPE($AV$1)),$H185,$G185,$J185,$K185,$L185,$M185,$D185,$W185,IF(NOT($H185),TRUE,FALSE),curveName,curveName,,,2),"")</f>
        <v>-0.53940214370500883</v>
      </c>
      <c r="AL185" s="213">
        <f>IF($W185&gt;0,_xll.xlBondZSpread(F185&amp;T(TYPE($AV$1)),H185,G185,J185,K185,L185,M185,D185,U185,"annual",5,IF(NOT($H185),TRUE,FALSE),curveName)*100,"")</f>
        <v>-42.746705493008278</v>
      </c>
      <c r="AM185" s="266">
        <f>(-IF($AL$9="",VLOOKUP(VLOOKUP(E185,'DB Basis'!$D$2:$H$65205,4,0),Bonds!$AR$1:$AS$6,2,0),$AL$9)*VLOOKUP(E185,'DB Basis'!$D$2:$E$65205,2,0))+IF(V185="",W185,V185)</f>
        <v>-66.320300000000003</v>
      </c>
      <c r="AN185" s="274" t="str">
        <f>IF($AN$9+(($AL$9-$AM$9))*('DB Basis'!F345/10-'DB Basis'!E345),," ")</f>
        <v xml:space="preserve"> </v>
      </c>
      <c r="AO185" s="639">
        <f>IF(U185&gt;0,_xll.xlShmImplSwap2(curveName&amp;T(TYPE($AV$1)),curveName,D185,G185,,1,8,2,4),"")</f>
        <v>1.3977835735746742E-2</v>
      </c>
      <c r="AP185" s="640">
        <f t="shared" si="21"/>
        <v>-5.0342517270428773E-3</v>
      </c>
      <c r="AQ185" s="386">
        <f t="shared" si="22"/>
        <v>4.9316123644107588</v>
      </c>
      <c r="AR185" s="386">
        <f t="shared" si="23"/>
        <v>0.13478131941365343</v>
      </c>
      <c r="AS185" s="388"/>
      <c r="AT185" s="242">
        <f t="shared" si="24"/>
        <v>0.88210691592695656</v>
      </c>
      <c r="AU185" s="686" t="str">
        <f t="shared" si="19"/>
        <v>BUND  04-Jul-34  4.75</v>
      </c>
      <c r="AV185" s="702"/>
      <c r="AW185" s="684"/>
      <c r="AX185" s="684"/>
      <c r="AY185" s="684"/>
      <c r="AZ185" s="684"/>
      <c r="BA185" s="684"/>
      <c r="BB185" s="683"/>
      <c r="BC185" s="696"/>
      <c r="BE185" s="706">
        <f>_xll.xlDateShiftMonth(BE184,1)</f>
        <v>48485</v>
      </c>
      <c r="BF185" s="707">
        <v>2.3928724676487746E-2</v>
      </c>
      <c r="BU185" s="133" t="s">
        <v>599</v>
      </c>
      <c r="BV185" s="133" t="s">
        <v>599</v>
      </c>
      <c r="BW185" s="133" t="s">
        <v>599</v>
      </c>
      <c r="BX185" s="133" t="s">
        <v>599</v>
      </c>
      <c r="BY185" s="133" t="s">
        <v>599</v>
      </c>
      <c r="BZ185" s="133" t="s">
        <v>599</v>
      </c>
      <c r="CA185" s="133" t="s">
        <v>599</v>
      </c>
      <c r="CB185" s="133" t="s">
        <v>599</v>
      </c>
      <c r="CC185" s="133" t="s">
        <v>599</v>
      </c>
      <c r="CD185" s="133" t="s">
        <v>599</v>
      </c>
      <c r="CE185" s="133" t="s">
        <v>599</v>
      </c>
      <c r="CF185" s="133" t="s">
        <v>599</v>
      </c>
    </row>
    <row r="186" spans="1:84">
      <c r="A186" s="10"/>
      <c r="B186" s="11"/>
      <c r="C186" s="12"/>
      <c r="D186" s="720">
        <f>MAX(_xll.xlDateSettle("TARGET",$D$4,2),L186)</f>
        <v>43179</v>
      </c>
      <c r="E186" s="718" t="s">
        <v>655</v>
      </c>
      <c r="F186" s="13" t="s">
        <v>1413</v>
      </c>
      <c r="G186" s="35">
        <v>50044</v>
      </c>
      <c r="H186" s="37">
        <v>4</v>
      </c>
      <c r="I186" s="11">
        <v>50044</v>
      </c>
      <c r="J186" s="11">
        <v>38356</v>
      </c>
      <c r="K186" s="11">
        <v>38721</v>
      </c>
      <c r="L186" s="11">
        <v>38380</v>
      </c>
      <c r="M186" s="12">
        <v>99.21</v>
      </c>
      <c r="N186" s="12" t="s">
        <v>1504</v>
      </c>
      <c r="O186" s="12" t="s">
        <v>1197</v>
      </c>
      <c r="P186" s="12" t="s">
        <v>1505</v>
      </c>
      <c r="Q186" s="15">
        <v>23000000000</v>
      </c>
      <c r="R186" s="12"/>
      <c r="S186" s="43">
        <f>_xll.RtGet("IDN",$X186,$S$9)</f>
        <v>151.49299999999999</v>
      </c>
      <c r="T186" s="43">
        <f>_xll.RtGet("IDN",$X186,$T$9)</f>
        <v>151.65299999999999</v>
      </c>
      <c r="U186" s="25">
        <f t="shared" si="25"/>
        <v>151.57299999999998</v>
      </c>
      <c r="V186" s="12"/>
      <c r="W186" s="25">
        <f t="shared" si="26"/>
        <v>151.57299999999998</v>
      </c>
      <c r="X186" s="14" t="str">
        <f t="shared" si="20"/>
        <v>DE113527=</v>
      </c>
      <c r="Y186" s="14"/>
      <c r="Z186" s="14"/>
      <c r="AA186" s="14"/>
      <c r="AB186" s="14"/>
      <c r="AC186" s="14"/>
      <c r="AD186" s="34">
        <f>IF(ISNUMBER($D186),_xll.xlBondYield($F186,$H186,$G186,$J186,$K186,$L186,$M186,$D186,$W186,IF(NOT($H186),TRUE,FALSE)),"")</f>
        <v>9.8149306313196349E-3</v>
      </c>
      <c r="AE186" s="12"/>
      <c r="AF186" s="12"/>
      <c r="AG186" s="12"/>
      <c r="AH186" s="14"/>
      <c r="AI186" s="14"/>
      <c r="AJ186" s="14"/>
      <c r="AK186" s="246">
        <f>IF(ISNUMBER($D186),_xll.xlBondAswSpread($F186&amp;T(TYPE($AV$1)),$H186,$G186,$J186,$K186,$L186,$M186,$D186,$W186,IF(NOT($H186),TRUE,FALSE),curveName,curveName,,,2),"")</f>
        <v>-0.52312311427018343</v>
      </c>
      <c r="AL186" s="213">
        <f>IF($W186&gt;0,_xll.xlBondZSpread(F186&amp;T(TYPE($AV$1)),H186,G186,J186,K186,L186,M186,D186,U186,"annual",5,IF(NOT($H186),TRUE,FALSE),curveName)*100,"")</f>
        <v>-42.718815553400795</v>
      </c>
      <c r="AM186" s="266">
        <f>(-IF($AL$9="",VLOOKUP(VLOOKUP(E186,'DB Basis'!$D$2:$H$65205,4,0),Bonds!$AR$1:$AS$6,2,0),$AL$9)*VLOOKUP(E186,'DB Basis'!$D$2:$E$65205,2,0))+IF(V186="",W186,V186)</f>
        <v>-94.770170000000036</v>
      </c>
      <c r="AN186" s="274" t="str">
        <f>IF($AN$9+(($AL$9-$AM$9))*('DB Basis'!F346/10-'DB Basis'!E346),," ")</f>
        <v xml:space="preserve"> </v>
      </c>
      <c r="AO186" s="639">
        <f>IF(U186&gt;0,_xll.xlShmImplSwap2(curveName&amp;T(TYPE($AV$1)),curveName,D186,G186,,1,8,2,4),"")</f>
        <v>1.46890523003792E-2</v>
      </c>
      <c r="AP186" s="640">
        <f t="shared" si="21"/>
        <v>-4.8741216690595651E-3</v>
      </c>
      <c r="AQ186" s="386">
        <f t="shared" si="22"/>
        <v>3.475863576554711</v>
      </c>
      <c r="AR186" s="386">
        <f t="shared" si="23"/>
        <v>0.63877017665474278</v>
      </c>
      <c r="AS186" s="388"/>
      <c r="AT186" s="242">
        <f t="shared" si="24"/>
        <v>0.96804795267810095</v>
      </c>
      <c r="AU186" s="686" t="str">
        <f t="shared" si="19"/>
        <v>BUND  04-Jan-37  4</v>
      </c>
      <c r="AV186" s="702"/>
      <c r="AW186" s="684"/>
      <c r="AX186" s="684"/>
      <c r="AY186" s="684"/>
      <c r="AZ186" s="684"/>
      <c r="BA186" s="684"/>
      <c r="BB186" s="683"/>
      <c r="BC186" s="696"/>
      <c r="BE186" s="706">
        <f>_xll.xlDateShiftMonth(BE185,1)</f>
        <v>48515</v>
      </c>
      <c r="BF186" s="707">
        <v>2.3988857003557872E-2</v>
      </c>
      <c r="BU186" s="133" t="s">
        <v>599</v>
      </c>
      <c r="BV186" s="133" t="s">
        <v>599</v>
      </c>
      <c r="BW186" s="133" t="s">
        <v>599</v>
      </c>
      <c r="BX186" s="133" t="s">
        <v>599</v>
      </c>
      <c r="BY186" s="133" t="s">
        <v>599</v>
      </c>
      <c r="BZ186" s="133" t="s">
        <v>599</v>
      </c>
      <c r="CA186" s="133" t="s">
        <v>599</v>
      </c>
      <c r="CB186" s="133" t="s">
        <v>599</v>
      </c>
      <c r="CC186" s="133" t="s">
        <v>599</v>
      </c>
      <c r="CD186" s="133" t="s">
        <v>599</v>
      </c>
      <c r="CE186" s="133" t="s">
        <v>599</v>
      </c>
      <c r="CF186" s="133" t="s">
        <v>599</v>
      </c>
    </row>
    <row r="187" spans="1:84">
      <c r="A187" s="10"/>
      <c r="B187" s="11"/>
      <c r="C187" s="12"/>
      <c r="D187" s="720">
        <f>MAX(_xll.xlDateSettle("TARGET",$D$4,2),L187)</f>
        <v>43179</v>
      </c>
      <c r="E187" s="718" t="s">
        <v>656</v>
      </c>
      <c r="F187" s="13" t="s">
        <v>1413</v>
      </c>
      <c r="G187" s="35">
        <v>50955</v>
      </c>
      <c r="H187" s="37">
        <v>4.25</v>
      </c>
      <c r="I187" s="11">
        <v>50955</v>
      </c>
      <c r="J187" s="11">
        <v>39108</v>
      </c>
      <c r="K187" s="11">
        <v>39633</v>
      </c>
      <c r="L187" s="11">
        <v>39108</v>
      </c>
      <c r="M187" s="12">
        <v>102.51</v>
      </c>
      <c r="N187" s="12" t="s">
        <v>1506</v>
      </c>
      <c r="O187" s="12" t="s">
        <v>1178</v>
      </c>
      <c r="P187" s="12" t="s">
        <v>1507</v>
      </c>
      <c r="Q187" s="15">
        <v>14000000000</v>
      </c>
      <c r="R187" s="12"/>
      <c r="S187" s="43">
        <f>_xll.RtGet("IDN",$X187,$S$9)</f>
        <v>161.04900000000001</v>
      </c>
      <c r="T187" s="43">
        <f>_xll.RtGet("IDN",$X187,$T$9)</f>
        <v>161.209</v>
      </c>
      <c r="U187" s="25">
        <f t="shared" si="25"/>
        <v>161.12900000000002</v>
      </c>
      <c r="V187" s="12"/>
      <c r="W187" s="25">
        <f t="shared" si="26"/>
        <v>161.12900000000002</v>
      </c>
      <c r="X187" s="14" t="str">
        <f t="shared" si="20"/>
        <v>DE113532=</v>
      </c>
      <c r="Y187" s="14"/>
      <c r="Z187" s="14"/>
      <c r="AA187" s="14"/>
      <c r="AB187" s="14"/>
      <c r="AC187" s="14"/>
      <c r="AD187" s="34">
        <f>IF(ISNUMBER($D187),_xll.xlBondYield($F187,$H187,$G187,$J187,$K187,$L187,$M187,$D187,$W187,IF(NOT($H187),TRUE,FALSE)),"")</f>
        <v>1.03562536339942E-2</v>
      </c>
      <c r="AE187" s="12"/>
      <c r="AF187" s="12"/>
      <c r="AG187" s="12"/>
      <c r="AH187" s="14"/>
      <c r="AI187" s="14"/>
      <c r="AJ187" s="14"/>
      <c r="AK187" s="246">
        <f>IF(ISNUMBER($D187),_xll.xlBondAswSpread($F187&amp;T(TYPE($AV$1)),$H187,$G187,$J187,$K187,$L187,$M187,$D187,$W187,IF(NOT($H187),TRUE,FALSE),curveName,curveName,,,2),"")</f>
        <v>-0.52582346755762488</v>
      </c>
      <c r="AL187" s="213">
        <f>IF($W187&gt;0,_xll.xlBondZSpread(F187&amp;T(TYPE($AV$1)),H187,G187,J187,K187,L187,M187,D187,U187,"annual",5,IF(NOT($H187),TRUE,FALSE),curveName)*100,"")</f>
        <v>-41.171518506806407</v>
      </c>
      <c r="AM187" s="266">
        <f>(-IF($AL$9="",VLOOKUP(VLOOKUP(E187,'DB Basis'!$D$2:$H$65205,4,0),Bonds!$AR$1:$AS$6,2,0),$AL$9)*VLOOKUP(E187,'DB Basis'!$D$2:$E$65205,2,0))+IF(V187="",W187,V187)</f>
        <v>-123.16176999999999</v>
      </c>
      <c r="AN187" s="274" t="str">
        <f>IF($AN$9+(($AL$9-$AM$9))*('DB Basis'!F347/10-'DB Basis'!E347),," ")</f>
        <v xml:space="preserve"> </v>
      </c>
      <c r="AO187" s="639">
        <f>IF(U187&gt;0,_xll.xlShmImplSwap2(curveName&amp;T(TYPE($AV$1)),curveName,D187,G187,,1,8,2,4),"")</f>
        <v>1.5079941225743465E-2</v>
      </c>
      <c r="AP187" s="640">
        <f t="shared" si="21"/>
        <v>-4.7236875917492649E-3</v>
      </c>
      <c r="AQ187" s="386">
        <f t="shared" si="22"/>
        <v>2.1688572555018255</v>
      </c>
      <c r="AR187" s="386">
        <f t="shared" si="23"/>
        <v>0.60272709350449571</v>
      </c>
      <c r="AS187" s="388"/>
      <c r="AT187" s="242">
        <f t="shared" si="24"/>
        <v>1.0214387145857293</v>
      </c>
      <c r="AU187" s="686" t="str">
        <f t="shared" si="19"/>
        <v>BUND  04-Jul-39  4.25</v>
      </c>
      <c r="AV187" s="702"/>
      <c r="AW187" s="684"/>
      <c r="AX187" s="684"/>
      <c r="AY187" s="684"/>
      <c r="AZ187" s="684"/>
      <c r="BA187" s="684"/>
      <c r="BB187" s="683"/>
      <c r="BC187" s="696"/>
      <c r="BE187" s="706">
        <f>_xll.xlDateShiftMonth(BE186,1)</f>
        <v>48546</v>
      </c>
      <c r="BF187" s="707">
        <v>2.4050068932190225E-2</v>
      </c>
      <c r="BU187" s="133" t="s">
        <v>599</v>
      </c>
      <c r="BV187" s="133" t="s">
        <v>599</v>
      </c>
      <c r="BW187" s="133" t="s">
        <v>599</v>
      </c>
      <c r="BX187" s="133" t="s">
        <v>599</v>
      </c>
      <c r="BY187" s="133" t="s">
        <v>599</v>
      </c>
      <c r="BZ187" s="133" t="s">
        <v>599</v>
      </c>
      <c r="CA187" s="133" t="s">
        <v>599</v>
      </c>
      <c r="CB187" s="133" t="s">
        <v>599</v>
      </c>
      <c r="CC187" s="133" t="s">
        <v>599</v>
      </c>
      <c r="CD187" s="133" t="s">
        <v>599</v>
      </c>
      <c r="CE187" s="133" t="s">
        <v>599</v>
      </c>
      <c r="CF187" s="133" t="s">
        <v>599</v>
      </c>
    </row>
    <row r="188" spans="1:84">
      <c r="A188" s="10"/>
      <c r="B188" s="11"/>
      <c r="C188" s="12"/>
      <c r="D188" s="720">
        <f>MAX(_xll.xlDateSettle("TARGET",$D$4,2),L188)</f>
        <v>43179</v>
      </c>
      <c r="E188" s="718" t="s">
        <v>657</v>
      </c>
      <c r="F188" s="13" t="s">
        <v>1413</v>
      </c>
      <c r="G188" s="35">
        <v>51321</v>
      </c>
      <c r="H188" s="37">
        <v>4.75</v>
      </c>
      <c r="I188" s="11">
        <v>51321</v>
      </c>
      <c r="J188" s="11">
        <v>39633</v>
      </c>
      <c r="K188" s="11">
        <v>39998</v>
      </c>
      <c r="L188" s="11">
        <v>39654</v>
      </c>
      <c r="M188" s="12">
        <v>97.48</v>
      </c>
      <c r="N188" s="12" t="s">
        <v>1508</v>
      </c>
      <c r="O188" s="12" t="s">
        <v>1178</v>
      </c>
      <c r="P188" s="12" t="s">
        <v>1509</v>
      </c>
      <c r="Q188" s="15">
        <v>16000000000</v>
      </c>
      <c r="R188" s="12"/>
      <c r="S188" s="43">
        <f>_xll.RtGet("IDN",$X188,$S$9)</f>
        <v>172.899</v>
      </c>
      <c r="T188" s="43">
        <f>_xll.RtGet("IDN",$X188,$T$9)</f>
        <v>173.249</v>
      </c>
      <c r="U188" s="25">
        <f t="shared" si="25"/>
        <v>173.07400000000001</v>
      </c>
      <c r="V188" s="12"/>
      <c r="W188" s="25">
        <f t="shared" si="26"/>
        <v>173.07400000000001</v>
      </c>
      <c r="X188" s="14" t="str">
        <f t="shared" si="20"/>
        <v>DE113536=</v>
      </c>
      <c r="Y188" s="14"/>
      <c r="Z188" s="14"/>
      <c r="AA188" s="14"/>
      <c r="AB188" s="14"/>
      <c r="AC188" s="14"/>
      <c r="AD188" s="34">
        <f>IF(ISNUMBER($D188),_xll.xlBondYield($F188,$H188,$G188,$J188,$K188,$L188,$M188,$D188,$W188,IF(NOT($H188),TRUE,FALSE)),"")</f>
        <v>1.0540968770456693E-2</v>
      </c>
      <c r="AE188" s="12"/>
      <c r="AF188" s="12"/>
      <c r="AG188" s="12"/>
      <c r="AH188" s="14"/>
      <c r="AI188" s="14"/>
      <c r="AJ188" s="14"/>
      <c r="AK188" s="246">
        <f>IF(ISNUMBER($D188),_xll.xlBondAswSpread($F188&amp;T(TYPE($AV$1)),$H188,$G188,$J188,$K188,$L188,$M188,$D188,$W188,IF(NOT($H188),TRUE,FALSE),curveName,curveName,,,2),"")</f>
        <v>-0.53293936911058237</v>
      </c>
      <c r="AL188" s="213">
        <f>IF($W188&gt;0,_xll.xlBondZSpread(F188&amp;T(TYPE($AV$1)),H188,G188,J188,K188,L188,M188,D188,U188,"annual",5,IF(NOT($H188),TRUE,FALSE),curveName)*100,"")</f>
        <v>-39.687112211639402</v>
      </c>
      <c r="AM188" s="266">
        <f>(-IF($AL$9="",VLOOKUP(VLOOKUP(E188,'DB Basis'!$D$2:$H$65205,4,0),Bonds!$AR$1:$AS$6,2,0),$AL$9)*VLOOKUP(E188,'DB Basis'!$D$2:$E$65205,2,0))+IF(V188="",W188,V188)</f>
        <v>-137.305745</v>
      </c>
      <c r="AN188" s="274" t="str">
        <f>IF($AN$9+(($AL$9-$AM$9))*('DB Basis'!F348/10-'DB Basis'!E348),," ")</f>
        <v xml:space="preserve"> </v>
      </c>
      <c r="AO188" s="639">
        <f>IF(U188&gt;0,_xll.xlShmImplSwap2(curveName&amp;T(TYPE($AV$1)),curveName,D188,G188,,1,8,2,4),"")</f>
        <v>1.5177621576309268E-2</v>
      </c>
      <c r="AP188" s="640">
        <f t="shared" si="21"/>
        <v>-4.6366528058525754E-3</v>
      </c>
      <c r="AQ188" s="386">
        <f t="shared" si="22"/>
        <v>1.8421045029729453</v>
      </c>
      <c r="AR188" s="386">
        <f t="shared" si="23"/>
        <v>0.86796985935223103</v>
      </c>
      <c r="AS188" s="388"/>
      <c r="AT188" s="242">
        <f t="shared" si="24"/>
        <v>1.0396571937984684</v>
      </c>
      <c r="AU188" s="686" t="str">
        <f t="shared" si="19"/>
        <v>BUND  04-Jul-40  4.75</v>
      </c>
      <c r="AV188" s="702"/>
      <c r="AW188" s="684"/>
      <c r="AX188" s="684"/>
      <c r="AY188" s="684"/>
      <c r="AZ188" s="684"/>
      <c r="BA188" s="684"/>
      <c r="BB188" s="683"/>
      <c r="BC188" s="696"/>
      <c r="BE188" s="706">
        <f>_xll.xlDateShiftMonth(BE187,1)</f>
        <v>48576</v>
      </c>
      <c r="BF188" s="707">
        <v>2.4108403575445862E-2</v>
      </c>
      <c r="BU188" s="133" t="s">
        <v>599</v>
      </c>
      <c r="BV188" s="133" t="s">
        <v>599</v>
      </c>
      <c r="BW188" s="133" t="s">
        <v>599</v>
      </c>
      <c r="BX188" s="133" t="s">
        <v>599</v>
      </c>
      <c r="BY188" s="133" t="s">
        <v>599</v>
      </c>
      <c r="BZ188" s="133" t="s">
        <v>599</v>
      </c>
      <c r="CA188" s="133" t="s">
        <v>599</v>
      </c>
      <c r="CB188" s="133" t="s">
        <v>599</v>
      </c>
      <c r="CC188" s="133" t="s">
        <v>599</v>
      </c>
      <c r="CD188" s="133" t="s">
        <v>599</v>
      </c>
      <c r="CE188" s="133" t="s">
        <v>599</v>
      </c>
      <c r="CF188" s="133" t="s">
        <v>599</v>
      </c>
    </row>
    <row r="189" spans="1:84">
      <c r="A189" s="10"/>
      <c r="B189" s="11"/>
      <c r="C189" s="12"/>
      <c r="D189" s="720">
        <f>MAX(_xll.xlDateSettle("TARGET",$D$4,2),L189)</f>
        <v>43179</v>
      </c>
      <c r="E189" s="718" t="s">
        <v>658</v>
      </c>
      <c r="F189" s="13" t="s">
        <v>1413</v>
      </c>
      <c r="G189" s="35">
        <v>52051</v>
      </c>
      <c r="H189" s="37">
        <v>3.25</v>
      </c>
      <c r="I189" s="11">
        <v>52051</v>
      </c>
      <c r="J189" s="11">
        <v>40363</v>
      </c>
      <c r="K189" s="11">
        <v>40728</v>
      </c>
      <c r="L189" s="11">
        <v>40382</v>
      </c>
      <c r="M189" s="12">
        <v>98.38</v>
      </c>
      <c r="N189" s="12" t="s">
        <v>1510</v>
      </c>
      <c r="O189" s="12" t="s">
        <v>1197</v>
      </c>
      <c r="P189" s="12" t="s">
        <v>1511</v>
      </c>
      <c r="Q189" s="15">
        <v>15000000000</v>
      </c>
      <c r="R189" s="12"/>
      <c r="S189" s="43">
        <f>_xll.RtGet("IDN",$X189,$S$9)</f>
        <v>145.15899999999999</v>
      </c>
      <c r="T189" s="43">
        <f>_xll.RtGet("IDN",$X189,$T$9)</f>
        <v>145.239</v>
      </c>
      <c r="U189" s="25">
        <f t="shared" si="25"/>
        <v>145.19900000000001</v>
      </c>
      <c r="V189" s="12"/>
      <c r="W189" s="25">
        <f t="shared" si="26"/>
        <v>145.19900000000001</v>
      </c>
      <c r="X189" s="14" t="str">
        <f t="shared" si="20"/>
        <v>DE113543=</v>
      </c>
      <c r="Y189" s="14"/>
      <c r="Z189" s="14"/>
      <c r="AA189" s="14"/>
      <c r="AB189" s="14"/>
      <c r="AC189" s="14"/>
      <c r="AD189" s="34">
        <f>IF(ISNUMBER($D189),_xll.xlBondYield($F189,$H189,$G189,$J189,$K189,$L189,$M189,$D189,$W189,IF(NOT($H189),TRUE,FALSE)),"")</f>
        <v>1.1153282117764216E-2</v>
      </c>
      <c r="AE189" s="12"/>
      <c r="AF189" s="12"/>
      <c r="AG189" s="12"/>
      <c r="AH189" s="14"/>
      <c r="AI189" s="14"/>
      <c r="AJ189" s="14"/>
      <c r="AK189" s="246">
        <f>IF(ISNUMBER($D189),_xll.xlBondAswSpread($F189&amp;T(TYPE($AV$1)),$H189,$G189,$J189,$K189,$L189,$M189,$D189,$W189,IF(NOT($H189),TRUE,FALSE),curveName,curveName,,,2),"")</f>
        <v>-0.45044063558222769</v>
      </c>
      <c r="AL189" s="213">
        <f>IF($W189&gt;0,_xll.xlBondZSpread(F189&amp;T(TYPE($AV$1)),H189,G189,J189,K189,L189,M189,D189,U189,"annual",5,IF(NOT($H189),TRUE,FALSE),curveName)*100,"")</f>
        <v>-37.704627272721339</v>
      </c>
      <c r="AM189" s="266" t="e">
        <f>(-IF($AL$9="",VLOOKUP(VLOOKUP(E189,'DB Basis'!$D$2:$H$65205,4,0),Bonds!$AR$1:$AS$6,2,0),$AL$9)*VLOOKUP(E189,'DB Basis'!$D$2:$E$65205,2,0))+IF(V189="",W189,V189)</f>
        <v>#N/A</v>
      </c>
      <c r="AN189" s="274" t="str">
        <f>IF($AN$9+(($AL$9-$AM$9))*('DB Basis'!F349/10-'DB Basis'!E349),," ")</f>
        <v xml:space="preserve"> </v>
      </c>
      <c r="AO189" s="639">
        <f>IF(U189&gt;0,_xll.xlShmImplSwap2(curveName&amp;T(TYPE($AV$1)),curveName,D189,G189,,1,8,2,4),"")</f>
        <v>1.5289679599204867E-2</v>
      </c>
      <c r="AP189" s="640">
        <f t="shared" si="21"/>
        <v>-4.1363974814406512E-3</v>
      </c>
      <c r="AQ189" s="386">
        <f t="shared" si="22"/>
        <v>3.061566736537614</v>
      </c>
      <c r="AR189" s="386">
        <f t="shared" si="23"/>
        <v>2.501276622059621</v>
      </c>
      <c r="AS189" s="388"/>
      <c r="AT189" s="242">
        <f t="shared" si="24"/>
        <v>1.1000497431219498</v>
      </c>
      <c r="AU189" s="686" t="str">
        <f t="shared" si="19"/>
        <v>BUND  04-Jul-42  3.25</v>
      </c>
      <c r="AV189" s="702"/>
      <c r="AW189" s="684"/>
      <c r="AX189" s="684"/>
      <c r="AY189" s="684"/>
      <c r="AZ189" s="684"/>
      <c r="BA189" s="684"/>
      <c r="BB189" s="683"/>
      <c r="BC189" s="696"/>
      <c r="BE189" s="706">
        <f>_xll.xlDateShiftMonth(BE188,1)</f>
        <v>48607</v>
      </c>
      <c r="BF189" s="707">
        <v>2.4167741833834314E-2</v>
      </c>
      <c r="BU189" s="133" t="s">
        <v>599</v>
      </c>
      <c r="BV189" s="133" t="s">
        <v>599</v>
      </c>
      <c r="BW189" s="133" t="s">
        <v>599</v>
      </c>
      <c r="BX189" s="133" t="s">
        <v>599</v>
      </c>
      <c r="BY189" s="133" t="s">
        <v>599</v>
      </c>
      <c r="BZ189" s="133" t="s">
        <v>599</v>
      </c>
      <c r="CA189" s="133" t="s">
        <v>599</v>
      </c>
      <c r="CB189" s="133" t="s">
        <v>599</v>
      </c>
      <c r="CC189" s="133" t="s">
        <v>599</v>
      </c>
      <c r="CD189" s="133" t="s">
        <v>599</v>
      </c>
      <c r="CE189" s="133" t="s">
        <v>599</v>
      </c>
      <c r="CF189" s="133" t="s">
        <v>599</v>
      </c>
    </row>
    <row r="190" spans="1:84">
      <c r="A190" s="10"/>
      <c r="B190" s="11"/>
      <c r="C190" s="12"/>
      <c r="D190" s="720">
        <f>MAX(_xll.xlDateSettle("TARGET",$D$4,2),L190)</f>
        <v>43179</v>
      </c>
      <c r="E190" s="718" t="s">
        <v>659</v>
      </c>
      <c r="F190" s="13" t="s">
        <v>1413</v>
      </c>
      <c r="G190" s="35">
        <v>52782</v>
      </c>
      <c r="H190" s="37">
        <v>2.5</v>
      </c>
      <c r="I190" s="11">
        <v>52782</v>
      </c>
      <c r="J190" s="11">
        <v>41026</v>
      </c>
      <c r="K190" s="11">
        <v>41459</v>
      </c>
      <c r="L190" s="11">
        <v>41026</v>
      </c>
      <c r="M190" s="12">
        <v>101.93</v>
      </c>
      <c r="N190" s="12" t="s">
        <v>1512</v>
      </c>
      <c r="O190" s="12" t="s">
        <v>1178</v>
      </c>
      <c r="P190" s="12" t="s">
        <v>1513</v>
      </c>
      <c r="Q190" s="15">
        <v>23500000000</v>
      </c>
      <c r="R190" s="12"/>
      <c r="S190" s="43">
        <f>_xll.RtGet("IDN",$X190,$S$9)</f>
        <v>129.97300000000001</v>
      </c>
      <c r="T190" s="43">
        <f>_xll.RtGet("IDN",$X190,$T$9)</f>
        <v>130.053</v>
      </c>
      <c r="U190" s="25">
        <f t="shared" si="25"/>
        <v>130.01300000000001</v>
      </c>
      <c r="V190" s="12"/>
      <c r="W190" s="25">
        <f t="shared" si="26"/>
        <v>130.01300000000001</v>
      </c>
      <c r="X190" s="14" t="str">
        <f t="shared" si="20"/>
        <v>DE113548=</v>
      </c>
      <c r="Y190" s="14"/>
      <c r="Z190" s="14"/>
      <c r="AA190" s="14"/>
      <c r="AB190" s="14"/>
      <c r="AC190" s="14"/>
      <c r="AD190" s="34">
        <f>IF(ISNUMBER($D190),_xll.xlBondYield($F190,$H190,$G190,$J190,$K190,$L190,$M190,$D190,$W190,IF(NOT($H190),TRUE,FALSE)),"")</f>
        <v>1.1675197916773156E-2</v>
      </c>
      <c r="AE190" s="12"/>
      <c r="AF190" s="12"/>
      <c r="AG190" s="12"/>
      <c r="AH190" s="14"/>
      <c r="AI190" s="14"/>
      <c r="AJ190" s="14"/>
      <c r="AK190" s="246">
        <f>IF(ISNUMBER($D190),_xll.xlBondAswSpread($F190&amp;T(TYPE($AV$1)),$H190,$G190,$J190,$K190,$L190,$M190,$D190,$W190,IF(NOT($H190),TRUE,FALSE),curveName,curveName,,,2),"")</f>
        <v>-0.38625912238408139</v>
      </c>
      <c r="AL190" s="213">
        <f>IF($W190&gt;0,_xll.xlBondZSpread(F190&amp;T(TYPE($AV$1)),H190,G190,J190,K190,L190,M190,D190,U190,"annual",5,IF(NOT($H190),TRUE,FALSE),curveName)*100,"")</f>
        <v>-34.65087939068399</v>
      </c>
      <c r="AM190" s="266" t="e">
        <f>(-IF($AL$9="",VLOOKUP(VLOOKUP(E190,'DB Basis'!$D$2:$H$65205,4,0),Bonds!$AR$1:$AS$6,2,0),$AL$9)*VLOOKUP(E190,'DB Basis'!$D$2:$E$65205,2,0))+IF(V190="",W190,V190)</f>
        <v>#N/A</v>
      </c>
      <c r="AN190" s="274" t="str">
        <f>IF($AN$9+(($AL$9-$AM$9))*('DB Basis'!F350/10-'DB Basis'!E350),," ")</f>
        <v xml:space="preserve"> </v>
      </c>
      <c r="AO190" s="639">
        <f>IF(U190&gt;0,_xll.xlShmImplSwap2(curveName&amp;T(TYPE($AV$1)),curveName,D190,G190,,1,8,2,4),"")</f>
        <v>1.5335415482807686E-2</v>
      </c>
      <c r="AP190" s="640">
        <f t="shared" si="21"/>
        <v>-3.6602175660345303E-3</v>
      </c>
      <c r="AQ190" s="386">
        <f t="shared" si="22"/>
        <v>2.6060091195384838</v>
      </c>
      <c r="AR190" s="386">
        <f t="shared" si="23"/>
        <v>2.377642532465583</v>
      </c>
      <c r="AS190" s="388"/>
      <c r="AT190" s="242">
        <f t="shared" si="24"/>
        <v>1.1515263698735168</v>
      </c>
      <c r="AU190" s="686" t="str">
        <f t="shared" si="19"/>
        <v>BUND  04-Jul-44  2.5</v>
      </c>
      <c r="AV190" s="702"/>
      <c r="AW190" s="684"/>
      <c r="AX190" s="684"/>
      <c r="AY190" s="684"/>
      <c r="AZ190" s="684"/>
      <c r="BA190" s="684"/>
      <c r="BB190" s="683"/>
      <c r="BC190" s="696"/>
      <c r="BE190" s="706">
        <f>_xll.xlDateShiftMonth(BE189,1)</f>
        <v>48638</v>
      </c>
      <c r="BF190" s="707">
        <v>2.4226115587003751E-2</v>
      </c>
      <c r="BU190" s="133" t="s">
        <v>599</v>
      </c>
      <c r="BV190" s="133" t="s">
        <v>599</v>
      </c>
      <c r="BW190" s="133" t="s">
        <v>599</v>
      </c>
      <c r="BX190" s="133" t="s">
        <v>599</v>
      </c>
      <c r="BY190" s="133" t="s">
        <v>599</v>
      </c>
      <c r="BZ190" s="133" t="s">
        <v>599</v>
      </c>
      <c r="CA190" s="133" t="s">
        <v>599</v>
      </c>
      <c r="CB190" s="133" t="s">
        <v>599</v>
      </c>
      <c r="CC190" s="133" t="s">
        <v>599</v>
      </c>
      <c r="CD190" s="133" t="s">
        <v>599</v>
      </c>
      <c r="CE190" s="133" t="s">
        <v>599</v>
      </c>
      <c r="CF190" s="133" t="s">
        <v>599</v>
      </c>
    </row>
    <row r="191" spans="1:84">
      <c r="A191" s="10"/>
      <c r="B191" s="11"/>
      <c r="C191" s="12"/>
      <c r="D191" s="720">
        <f>MAX(_xll.xlDateSettle("TARGET",$D$4,2),L191)</f>
        <v>43179</v>
      </c>
      <c r="E191" s="718" t="s">
        <v>412</v>
      </c>
      <c r="F191" s="13" t="s">
        <v>1413</v>
      </c>
      <c r="G191" s="35">
        <v>53554</v>
      </c>
      <c r="H191" s="37">
        <v>2.5</v>
      </c>
      <c r="I191" s="11">
        <v>53554</v>
      </c>
      <c r="J191" s="11">
        <v>41698</v>
      </c>
      <c r="K191" s="11">
        <v>42231</v>
      </c>
      <c r="L191" s="11">
        <v>41698</v>
      </c>
      <c r="M191" s="12">
        <v>99.4</v>
      </c>
      <c r="N191" s="12" t="s">
        <v>1514</v>
      </c>
      <c r="O191" s="12" t="s">
        <v>1178</v>
      </c>
      <c r="P191" s="12" t="s">
        <v>1515</v>
      </c>
      <c r="Q191" s="15">
        <v>23000000000</v>
      </c>
      <c r="R191" s="12"/>
      <c r="S191" s="43">
        <f>_xll.RtGet("IDN",$X191,$S$9)</f>
        <v>131.535</v>
      </c>
      <c r="T191" s="43">
        <f>_xll.RtGet("IDN",$X191,$T$9)</f>
        <v>131.61500000000001</v>
      </c>
      <c r="U191" s="25">
        <f t="shared" si="25"/>
        <v>131.57499999999999</v>
      </c>
      <c r="V191" s="12"/>
      <c r="W191" s="25">
        <f t="shared" si="26"/>
        <v>131.57499999999999</v>
      </c>
      <c r="X191" s="14" t="str">
        <f t="shared" si="20"/>
        <v>DE110234=</v>
      </c>
      <c r="Y191" s="14"/>
      <c r="Z191" s="14"/>
      <c r="AA191" s="14"/>
      <c r="AB191" s="14"/>
      <c r="AC191" s="14"/>
      <c r="AD191" s="34">
        <f>IF(ISNUMBER($D191),_xll.xlBondYield($F191,$H191,$G191,$J191,$K191,$L191,$M191,$D191,$W191,IF(NOT($H191),TRUE,FALSE)),"")</f>
        <v>1.1843237634825619E-2</v>
      </c>
      <c r="AE191" s="12"/>
      <c r="AF191" s="12"/>
      <c r="AG191" s="12"/>
      <c r="AH191" s="14"/>
      <c r="AI191" s="14"/>
      <c r="AJ191" s="14"/>
      <c r="AK191" s="246">
        <f>IF(ISNUMBER($D191),_xll.xlBondAswSpread($F191&amp;T(TYPE($AV$1)),$H191,$G191,$J191,$K191,$L191,$M191,$D191,$W191,IF(NOT($H191),TRUE,FALSE),curveName,curveName,,,2),"")</f>
        <v>-0.37592095185556584</v>
      </c>
      <c r="AL191" s="213">
        <f>IF($W191&gt;0,_xll.xlBondZSpread(F191&amp;T(TYPE($AV$1)),H191,G191,J191,K191,L191,M191,D191,U191,"annual",5,IF(NOT($H191),TRUE,FALSE),curveName)*100,"")</f>
        <v>-33.378883892131498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4" t="str">
        <f>IF($AN$9+(($AL$9-$AM$9))*('DB Basis'!F351/10-'DB Basis'!E351),," ")</f>
        <v xml:space="preserve"> </v>
      </c>
      <c r="AO191" s="639">
        <f>IF(U191&gt;0,_xll.xlShmImplSwap2(curveName&amp;T(TYPE($AV$1)),curveName,D191,G191,,1,8,2,4),"")</f>
        <v>1.5357092790218985E-2</v>
      </c>
      <c r="AP191" s="640">
        <f t="shared" si="21"/>
        <v>-3.5138551553933663E-3</v>
      </c>
      <c r="AQ191" s="386">
        <f t="shared" si="22"/>
        <v>0.79448830426358807</v>
      </c>
      <c r="AR191" s="386">
        <f t="shared" si="23"/>
        <v>0.69199844409358635</v>
      </c>
      <c r="AS191" s="388"/>
      <c r="AT191" s="242">
        <f t="shared" si="24"/>
        <v>1.1681001502841706</v>
      </c>
      <c r="AU191" s="686" t="str">
        <f t="shared" si="19"/>
        <v>BUND  15-Aug-46  2.5</v>
      </c>
      <c r="AV191" s="702"/>
      <c r="AW191" s="684"/>
      <c r="AX191" s="684"/>
      <c r="AY191" s="684"/>
      <c r="AZ191" s="684"/>
      <c r="BA191" s="684"/>
      <c r="BB191" s="683"/>
      <c r="BC191" s="696"/>
      <c r="BE191" s="706">
        <f>_xll.xlDateShiftMonth(BE190,1)</f>
        <v>48666</v>
      </c>
      <c r="BF191" s="707">
        <v>2.4278004352811858E-2</v>
      </c>
      <c r="BU191" s="133" t="s">
        <v>599</v>
      </c>
      <c r="BV191" s="133" t="s">
        <v>599</v>
      </c>
      <c r="BW191" s="133" t="s">
        <v>599</v>
      </c>
      <c r="BX191" s="133" t="s">
        <v>599</v>
      </c>
      <c r="BY191" s="133" t="s">
        <v>599</v>
      </c>
      <c r="BZ191" s="133" t="s">
        <v>599</v>
      </c>
      <c r="CA191" s="133" t="s">
        <v>599</v>
      </c>
      <c r="CB191" s="133" t="s">
        <v>599</v>
      </c>
      <c r="CC191" s="133" t="s">
        <v>599</v>
      </c>
      <c r="CD191" s="133" t="s">
        <v>599</v>
      </c>
      <c r="CE191" s="133" t="s">
        <v>599</v>
      </c>
      <c r="CF191" s="133" t="s">
        <v>599</v>
      </c>
    </row>
    <row r="192" spans="1:84">
      <c r="A192" s="10"/>
      <c r="B192" s="11"/>
      <c r="C192" s="12"/>
      <c r="D192" s="720">
        <f>MAX(_xll.xlDateSettle("TARGET",$D$4,2),L192)</f>
        <v>43179</v>
      </c>
      <c r="E192" s="718" t="s">
        <v>1636</v>
      </c>
      <c r="F192" s="13" t="s">
        <v>1413</v>
      </c>
      <c r="G192" s="35">
        <v>54285</v>
      </c>
      <c r="H192" s="37">
        <v>1.25</v>
      </c>
      <c r="I192" s="11">
        <v>54285</v>
      </c>
      <c r="J192" s="11">
        <v>42962</v>
      </c>
      <c r="K192" s="11">
        <v>43327</v>
      </c>
      <c r="L192" s="11">
        <v>43000</v>
      </c>
      <c r="M192" s="12">
        <v>99.41</v>
      </c>
      <c r="N192" s="12" t="s">
        <v>1516</v>
      </c>
      <c r="O192" s="12" t="s">
        <v>1197</v>
      </c>
      <c r="P192" s="12" t="s">
        <v>1517</v>
      </c>
      <c r="Q192" s="15">
        <v>7000000000</v>
      </c>
      <c r="R192" s="12"/>
      <c r="S192" s="43">
        <f>_xll.RtGet("IDN",$X192,$S$9)</f>
        <v>100.48</v>
      </c>
      <c r="T192" s="43">
        <f>_xll.RtGet("IDN",$X192,$T$9)</f>
        <v>100.8</v>
      </c>
      <c r="U192" s="25">
        <f t="shared" si="25"/>
        <v>100.64</v>
      </c>
      <c r="V192" s="12"/>
      <c r="W192" s="25">
        <f t="shared" si="26"/>
        <v>100.64</v>
      </c>
      <c r="X192" s="14" t="str">
        <f t="shared" si="20"/>
        <v>DE110243=</v>
      </c>
      <c r="Y192" s="14"/>
      <c r="Z192" s="14"/>
      <c r="AA192" s="14"/>
      <c r="AB192" s="14"/>
      <c r="AC192" s="14"/>
      <c r="AD192" s="34">
        <f>IF(ISNUMBER($D192),_xll.xlBondYield($F192,$H192,$G192,$J192,$K192,$L192,$M192,$D192,$W192,IF(NOT($H192),TRUE,FALSE)),"")</f>
        <v>1.2245900707580188E-2</v>
      </c>
      <c r="AE192" s="12"/>
      <c r="AF192" s="12"/>
      <c r="AG192" s="12"/>
      <c r="AH192" s="14"/>
      <c r="AI192" s="14"/>
      <c r="AJ192" s="14"/>
      <c r="AK192" s="246">
        <f>IF(ISNUMBER($D192),_xll.xlBondAswSpread($F192&amp;T(TYPE($AV$1)),$H192,$G192,$J192,$K192,$L192,$M192,$D192,$W192,IF(NOT($H192),TRUE,FALSE),curveName,curveName,,,2),"")</f>
        <v>-0.30623223741376016</v>
      </c>
      <c r="AL192" s="213">
        <f>IF($W192&gt;0,_xll.xlBondZSpread(F192&amp;T(TYPE($AV$1)),H192,G192,J192,K192,L192,M192,D192,U192,"annual",5,IF(NOT($H192),TRUE,FALSE),curveName)*100,"")</f>
        <v>-31.995691964491208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4" t="str">
        <f>IF($AN$9+(($AL$9-$AM$9))*('DB Basis'!F352/10-'DB Basis'!E352),," ")</f>
        <v xml:space="preserve"> </v>
      </c>
      <c r="AO192" s="639">
        <f>IF(U192&gt;0,_xll.xlShmImplSwap2(curveName&amp;T(TYPE($AV$1)),curveName,D192,G192,,1,8,2,4),"")</f>
        <v>1.5360734865122351E-2</v>
      </c>
      <c r="AP192" s="640">
        <f t="shared" si="21"/>
        <v>-3.1148341575421637E-3</v>
      </c>
      <c r="AQ192" s="386">
        <f t="shared" si="22"/>
        <v>2.0105611703887507</v>
      </c>
      <c r="AR192" s="386">
        <f t="shared" si="23"/>
        <v>1.9923757074649653</v>
      </c>
      <c r="AS192" s="388"/>
      <c r="AT192" s="242">
        <f t="shared" si="24"/>
        <v>1.2078148643092788</v>
      </c>
      <c r="AU192" s="686" t="str">
        <f t="shared" si="19"/>
        <v>BUND  15-Aug-48  1.25</v>
      </c>
      <c r="AV192" s="702"/>
      <c r="AW192" s="684"/>
      <c r="AX192" s="684"/>
      <c r="AY192" s="684"/>
      <c r="AZ192" s="684"/>
      <c r="BA192" s="684"/>
      <c r="BB192" s="683"/>
      <c r="BC192" s="696"/>
      <c r="BE192" s="706">
        <f>_xll.xlDateShiftMonth(BE191,1)</f>
        <v>48697</v>
      </c>
      <c r="BF192" s="707">
        <v>2.433451951137584E-2</v>
      </c>
      <c r="BU192" s="133" t="s">
        <v>599</v>
      </c>
      <c r="BV192" s="133" t="s">
        <v>599</v>
      </c>
      <c r="BW192" s="133" t="s">
        <v>599</v>
      </c>
      <c r="BX192" s="133" t="s">
        <v>599</v>
      </c>
      <c r="BY192" s="133" t="s">
        <v>599</v>
      </c>
      <c r="BZ192" s="133" t="s">
        <v>599</v>
      </c>
      <c r="CA192" s="133" t="s">
        <v>599</v>
      </c>
      <c r="CB192" s="133" t="s">
        <v>599</v>
      </c>
      <c r="CC192" s="133" t="s">
        <v>599</v>
      </c>
      <c r="CD192" s="133" t="s">
        <v>599</v>
      </c>
      <c r="CE192" s="133" t="s">
        <v>599</v>
      </c>
      <c r="CF192" s="133" t="s">
        <v>599</v>
      </c>
    </row>
    <row r="193" spans="1:84">
      <c r="A193" s="10"/>
      <c r="B193" s="11"/>
      <c r="C193" s="12"/>
      <c r="D193" s="720">
        <f>MAX(_xll.xlDateSettle("TARGET",$D$4,2),L193)</f>
        <v>43179</v>
      </c>
      <c r="E193" s="718" t="s">
        <v>671</v>
      </c>
      <c r="F193" s="13" t="s">
        <v>1518</v>
      </c>
      <c r="G193" s="35">
        <v>43215</v>
      </c>
      <c r="H193" s="37">
        <v>4</v>
      </c>
      <c r="I193" s="11">
        <v>43215</v>
      </c>
      <c r="J193" s="11">
        <v>39197</v>
      </c>
      <c r="K193" s="11">
        <v>39563</v>
      </c>
      <c r="L193" s="11">
        <v>39546</v>
      </c>
      <c r="M193" s="12">
        <v>98.1</v>
      </c>
      <c r="N193" s="12" t="s">
        <v>1519</v>
      </c>
      <c r="O193" s="12" t="s">
        <v>1178</v>
      </c>
      <c r="P193" s="12" t="s">
        <v>1520</v>
      </c>
      <c r="Q193" s="15">
        <v>27277000000</v>
      </c>
      <c r="R193" s="12"/>
      <c r="S193" s="43">
        <f>_xll.RtGet("IDN",$X193,$S$9)</f>
        <v>100.431</v>
      </c>
      <c r="T193" s="43">
        <f>_xll.RtGet("IDN",$X193,$T$9)</f>
        <v>100.491</v>
      </c>
      <c r="U193" s="25">
        <f t="shared" si="25"/>
        <v>100.461</v>
      </c>
      <c r="V193" s="12"/>
      <c r="W193" s="25">
        <f t="shared" si="26"/>
        <v>100.461</v>
      </c>
      <c r="X193" s="14" t="str">
        <f t="shared" si="20"/>
        <v>FR0010604983=</v>
      </c>
      <c r="Y193" s="14"/>
      <c r="Z193" s="14"/>
      <c r="AA193" s="14"/>
      <c r="AB193" s="14"/>
      <c r="AC193" s="14"/>
      <c r="AD193" s="34">
        <f>IF(ISNUMBER($D193),_xll.xlBondYield($F193,$H193,$G193,$J193,$K193,$L193,$M193,$D193,$W193,IF(NOT($H193),TRUE,FALSE)),"")</f>
        <v>-6.4116114210292577E-3</v>
      </c>
      <c r="AE193" s="12"/>
      <c r="AF193" s="12"/>
      <c r="AG193" s="12"/>
      <c r="AH193" s="14"/>
      <c r="AI193" s="14"/>
      <c r="AJ193" s="14"/>
      <c r="AK193" s="246">
        <f>IF(ISNUMBER($D193),_xll.xlBondAswSpread($F193&amp;T(TYPE($AV$1)),$H193,$G193,$J193,$K193,$L193,$M193,$D193,$W193,IF(NOT($H193),TRUE,FALSE),curveName,curveName,,,2),"")</f>
        <v>-0.27919417827505283</v>
      </c>
      <c r="AL193" s="213">
        <f>IF($W193&gt;0,_xll.xlBondZSpread(F193&amp;T(TYPE($AV$1)),H193,G193,J193,K193,L193,M193,D193,U193,"annual",5,IF(NOT($H193),TRUE,FALSE),curveName)*100,"")</f>
        <v>-27.169734257522215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4" t="str">
        <f>IF($AN$9+(($AL$9-$AM$9))*('DB Basis'!F353/10-'DB Basis'!E353),," ")</f>
        <v xml:space="preserve"> </v>
      </c>
      <c r="AO193" s="639">
        <f>IF(U193&gt;0,_xll.xlShmImplSwap2(curveName&amp;T(TYPE($AV$1)),curveName,D193,G193,,1,8,2,4),"")</f>
        <v>-3.7543973126066277E-3</v>
      </c>
      <c r="AP193" s="640">
        <f t="shared" si="21"/>
        <v>-2.65721410842263E-3</v>
      </c>
      <c r="AQ193" s="386">
        <f t="shared" si="22"/>
        <v>6.1517542248802597</v>
      </c>
      <c r="AR193" s="386">
        <f t="shared" si="23"/>
        <v>-0.15088646606018952</v>
      </c>
      <c r="AS193" s="388"/>
      <c r="AT193" s="242">
        <f t="shared" si="24"/>
        <v>-0.63237811275905009</v>
      </c>
      <c r="AU193" s="686" t="str">
        <f t="shared" si="19"/>
        <v>OAT  25-Apr-18  4</v>
      </c>
      <c r="AV193" s="702"/>
      <c r="AW193" s="684"/>
      <c r="AX193" s="684"/>
      <c r="AY193" s="684"/>
      <c r="AZ193" s="684"/>
      <c r="BA193" s="684"/>
      <c r="BB193" s="683"/>
      <c r="BC193" s="696"/>
      <c r="BE193" s="706">
        <f>_xll.xlDateShiftMonth(BE192,1)</f>
        <v>48727</v>
      </c>
      <c r="BF193" s="707">
        <v>2.4388270411905728E-2</v>
      </c>
      <c r="BU193" s="133" t="s">
        <v>599</v>
      </c>
      <c r="BV193" s="133" t="s">
        <v>599</v>
      </c>
      <c r="BW193" s="133" t="s">
        <v>599</v>
      </c>
      <c r="BX193" s="133" t="s">
        <v>599</v>
      </c>
      <c r="BY193" s="133" t="s">
        <v>599</v>
      </c>
      <c r="BZ193" s="133" t="s">
        <v>599</v>
      </c>
      <c r="CA193" s="133" t="s">
        <v>599</v>
      </c>
      <c r="CB193" s="133" t="s">
        <v>599</v>
      </c>
      <c r="CC193" s="133" t="s">
        <v>599</v>
      </c>
      <c r="CD193" s="133" t="s">
        <v>599</v>
      </c>
      <c r="CE193" s="133" t="s">
        <v>599</v>
      </c>
      <c r="CF193" s="133" t="s">
        <v>599</v>
      </c>
    </row>
    <row r="194" spans="1:84">
      <c r="A194" s="10"/>
      <c r="B194" s="11"/>
      <c r="C194" s="12"/>
      <c r="D194" s="720">
        <f>MAX(_xll.xlDateSettle("TARGET",$D$4,2),L194)</f>
        <v>43179</v>
      </c>
      <c r="E194" s="718" t="s">
        <v>672</v>
      </c>
      <c r="F194" s="13" t="s">
        <v>1518</v>
      </c>
      <c r="G194" s="35">
        <v>43245</v>
      </c>
      <c r="H194" s="37">
        <v>1</v>
      </c>
      <c r="I194" s="11">
        <v>43245</v>
      </c>
      <c r="J194" s="11">
        <v>41054</v>
      </c>
      <c r="K194" s="11">
        <v>41419</v>
      </c>
      <c r="L194" s="11">
        <v>41296</v>
      </c>
      <c r="M194" s="12">
        <v>99.71</v>
      </c>
      <c r="N194" s="12" t="s">
        <v>1521</v>
      </c>
      <c r="O194" s="12" t="s">
        <v>1178</v>
      </c>
      <c r="P194" s="12" t="s">
        <v>1522</v>
      </c>
      <c r="Q194" s="15">
        <v>18191000000</v>
      </c>
      <c r="R194" s="12"/>
      <c r="S194" s="43">
        <f>_xll.RtGet("IDN",$X194,$S$9)</f>
        <v>100.251</v>
      </c>
      <c r="T194" s="43">
        <f>_xll.RtGet("IDN",$X194,$T$9)</f>
        <v>100.361</v>
      </c>
      <c r="U194" s="25">
        <f t="shared" si="25"/>
        <v>100.30600000000001</v>
      </c>
      <c r="V194" s="12"/>
      <c r="W194" s="25">
        <f t="shared" si="26"/>
        <v>100.30600000000001</v>
      </c>
      <c r="X194" s="14" t="str">
        <f t="shared" si="20"/>
        <v>FR0011394345=</v>
      </c>
      <c r="Y194" s="14"/>
      <c r="Z194" s="14"/>
      <c r="AA194" s="14"/>
      <c r="AB194" s="14"/>
      <c r="AC194" s="14"/>
      <c r="AD194" s="34">
        <f>IF(ISNUMBER($D194),_xll.xlBondYield($F194,$H194,$G194,$J194,$K194,$L194,$M194,$D194,$W194,IF(NOT($H194),TRUE,FALSE)),"")</f>
        <v>-6.8168615814193437E-3</v>
      </c>
      <c r="AE194" s="12"/>
      <c r="AF194" s="12"/>
      <c r="AG194" s="12"/>
      <c r="AH194" s="14"/>
      <c r="AI194" s="14"/>
      <c r="AJ194" s="14"/>
      <c r="AK194" s="246">
        <f>IF(ISNUMBER($D194),_xll.xlBondAswSpread($F194&amp;T(TYPE($AV$1)),$H194,$G194,$J194,$K194,$L194,$M194,$D194,$W194,IF(NOT($H194),TRUE,FALSE),curveName,curveName,,,2),"")</f>
        <v>-0.35973225470093995</v>
      </c>
      <c r="AL194" s="213">
        <f>IF($W194&gt;0,_xll.xlBondZSpread(F194&amp;T(TYPE($AV$1)),H194,G194,J194,K194,L194,M194,D194,U194,"annual",5,IF(NOT($H194),TRUE,FALSE),curveName)*100,"")</f>
        <v>-33.878058473014974</v>
      </c>
      <c r="AM194" s="266" t="e">
        <f>(-IF($AL$9="",VLOOKUP(VLOOKUP(E194,'DB Basis'!$D$2:$H$65205,4,0),Bonds!$AR$1:$AS$6,2,0),$AL$9)*VLOOKUP(E194,'DB Basis'!$D$2:$E$65205,2,0))+IF(V194="",W194,V194)</f>
        <v>#N/A</v>
      </c>
      <c r="AN194" s="274" t="str">
        <f>IF($AN$9+(($AL$9-$AM$9))*('DB Basis'!F354/10-'DB Basis'!E354),," ")</f>
        <v xml:space="preserve"> </v>
      </c>
      <c r="AO194" s="639">
        <f>IF(U194&gt;0,_xll.xlShmImplSwap2(curveName&amp;T(TYPE($AV$1)),curveName,D194,G194,,1,8,2,4),"")</f>
        <v>-3.4389477010674861E-3</v>
      </c>
      <c r="AP194" s="640">
        <f t="shared" si="21"/>
        <v>-3.3779138803518576E-3</v>
      </c>
      <c r="AQ194" s="386">
        <f t="shared" si="22"/>
        <v>-49.305436180793791</v>
      </c>
      <c r="AR194" s="386">
        <f t="shared" si="23"/>
        <v>-87.685138918056026</v>
      </c>
      <c r="AS194" s="388"/>
      <c r="AT194" s="242">
        <f t="shared" si="24"/>
        <v>-0.67234799159204484</v>
      </c>
      <c r="AU194" s="686" t="str">
        <f t="shared" si="19"/>
        <v>OAT  25-May-18  1</v>
      </c>
      <c r="AV194" s="702"/>
      <c r="AW194" s="684"/>
      <c r="AX194" s="684"/>
      <c r="AY194" s="684"/>
      <c r="AZ194" s="684"/>
      <c r="BA194" s="684"/>
      <c r="BB194" s="683"/>
      <c r="BC194" s="696"/>
      <c r="BE194" s="706">
        <f>_xll.xlDateShiftMonth(BE193,1)</f>
        <v>48758</v>
      </c>
      <c r="BF194" s="707">
        <v>2.4442832372062663E-2</v>
      </c>
      <c r="BU194" s="133" t="s">
        <v>599</v>
      </c>
      <c r="BV194" s="133" t="s">
        <v>599</v>
      </c>
      <c r="BW194" s="133" t="s">
        <v>599</v>
      </c>
      <c r="BX194" s="133" t="s">
        <v>599</v>
      </c>
      <c r="BY194" s="133" t="s">
        <v>599</v>
      </c>
      <c r="BZ194" s="133" t="s">
        <v>599</v>
      </c>
      <c r="CA194" s="133" t="s">
        <v>599</v>
      </c>
      <c r="CB194" s="133" t="s">
        <v>599</v>
      </c>
      <c r="CC194" s="133" t="s">
        <v>599</v>
      </c>
      <c r="CD194" s="133" t="s">
        <v>599</v>
      </c>
      <c r="CE194" s="133" t="s">
        <v>599</v>
      </c>
      <c r="CF194" s="133" t="s">
        <v>599</v>
      </c>
    </row>
    <row r="195" spans="1:84">
      <c r="A195" s="10"/>
      <c r="B195" s="11"/>
      <c r="C195" s="12"/>
      <c r="D195" s="720">
        <f>MAX(_xll.xlDateSettle("TARGET",$D$4,2),L195)</f>
        <v>43179</v>
      </c>
      <c r="E195" s="718" t="s">
        <v>673</v>
      </c>
      <c r="F195" s="13" t="s">
        <v>1518</v>
      </c>
      <c r="G195" s="35">
        <v>43398</v>
      </c>
      <c r="H195" s="37">
        <v>4.25</v>
      </c>
      <c r="I195" s="11">
        <v>43398</v>
      </c>
      <c r="J195" s="11">
        <v>39380</v>
      </c>
      <c r="K195" s="11">
        <v>39746</v>
      </c>
      <c r="L195" s="11">
        <v>39728</v>
      </c>
      <c r="M195" s="12">
        <v>98.55</v>
      </c>
      <c r="N195" s="12" t="s">
        <v>1523</v>
      </c>
      <c r="O195" s="12" t="s">
        <v>1178</v>
      </c>
      <c r="P195" s="12" t="s">
        <v>1524</v>
      </c>
      <c r="Q195" s="15">
        <v>27527000000</v>
      </c>
      <c r="R195" s="12"/>
      <c r="S195" s="43">
        <f>_xll.RtGet("IDN",$X195,$S$9)</f>
        <v>102.905</v>
      </c>
      <c r="T195" s="43">
        <f>_xll.RtGet("IDN",$X195,$T$9)</f>
        <v>102.995</v>
      </c>
      <c r="U195" s="25">
        <f t="shared" si="25"/>
        <v>102.95</v>
      </c>
      <c r="V195" s="12"/>
      <c r="W195" s="25">
        <f t="shared" si="26"/>
        <v>102.95</v>
      </c>
      <c r="X195" s="14" t="str">
        <f t="shared" si="20"/>
        <v>FR0010670737=</v>
      </c>
      <c r="Y195" s="14"/>
      <c r="Z195" s="14"/>
      <c r="AA195" s="14"/>
      <c r="AB195" s="14"/>
      <c r="AC195" s="14"/>
      <c r="AD195" s="34">
        <f>IF(ISNUMBER($D195),_xll.xlBondYield($F195,$H195,$G195,$J195,$K195,$L195,$M195,$D195,$W195,IF(NOT($H195),TRUE,FALSE)),"")</f>
        <v>-6.3623211975191024E-3</v>
      </c>
      <c r="AE195" s="12"/>
      <c r="AF195" s="12"/>
      <c r="AG195" s="12"/>
      <c r="AH195" s="14"/>
      <c r="AI195" s="14"/>
      <c r="AJ195" s="14"/>
      <c r="AK195" s="246">
        <f>IF(ISNUMBER($D195),_xll.xlBondAswSpread($F195&amp;T(TYPE($AV$1)),$H195,$G195,$J195,$K195,$L195,$M195,$D195,$W195,IF(NOT($H195),TRUE,FALSE),curveName,curveName,,,2),"")</f>
        <v>-0.39796463878742844</v>
      </c>
      <c r="AL195" s="213">
        <f>IF($W195&gt;0,_xll.xlBondZSpread(F195&amp;T(TYPE($AV$1)),H195,G195,J195,K195,L195,M195,D195,U195,"annual",5,IF(NOT($H195),TRUE,FALSE),curveName)*100,"")</f>
        <v>-38.498483108998336</v>
      </c>
      <c r="AM195" s="266">
        <f>(-IF($AL$9="",VLOOKUP(VLOOKUP(E195,'DB Basis'!$D$2:$H$65205,4,0),Bonds!$AR$1:$AS$6,2,0),$AL$9)*VLOOKUP(E195,'DB Basis'!$D$2:$E$65205,2,0))+IF(V195="",W195,V195)</f>
        <v>68.825837500000006</v>
      </c>
      <c r="AN195" s="274" t="str">
        <f>IF($AN$9+(($AL$9-$AM$9))*('DB Basis'!F355/10-'DB Basis'!E355),," ")</f>
        <v xml:space="preserve"> </v>
      </c>
      <c r="AO195" s="639">
        <f>IF(U195&gt;0,_xll.xlShmImplSwap2(curveName&amp;T(TYPE($AV$1)),curveName,D195,G195,,1,8,2,4),"")</f>
        <v>-2.5254287348797301E-3</v>
      </c>
      <c r="AP195" s="640">
        <f t="shared" si="21"/>
        <v>-3.8368924626393723E-3</v>
      </c>
      <c r="AQ195" s="386">
        <f t="shared" si="22"/>
        <v>10.843610465593992</v>
      </c>
      <c r="AR195" s="386">
        <f t="shared" si="23"/>
        <v>-10.94948905457143</v>
      </c>
      <c r="AS195" s="388"/>
      <c r="AT195" s="242">
        <f t="shared" si="24"/>
        <v>-0.62751661126215807</v>
      </c>
      <c r="AU195" s="686" t="str">
        <f t="shared" si="19"/>
        <v>OAT  25-Oct-18  4.25</v>
      </c>
      <c r="AV195" s="702"/>
      <c r="AW195" s="684"/>
      <c r="AX195" s="684"/>
      <c r="AY195" s="684"/>
      <c r="AZ195" s="684"/>
      <c r="BA195" s="684"/>
      <c r="BB195" s="683"/>
      <c r="BC195" s="696"/>
      <c r="BE195" s="706">
        <f>_xll.xlDateShiftMonth(BE194,1)</f>
        <v>48788</v>
      </c>
      <c r="BF195" s="707">
        <v>2.4494677535131924E-2</v>
      </c>
      <c r="BU195" s="133" t="s">
        <v>599</v>
      </c>
      <c r="BV195" s="133" t="s">
        <v>599</v>
      </c>
      <c r="BW195" s="133" t="s">
        <v>599</v>
      </c>
      <c r="BX195" s="133" t="s">
        <v>599</v>
      </c>
      <c r="BY195" s="133" t="s">
        <v>599</v>
      </c>
      <c r="BZ195" s="133" t="s">
        <v>599</v>
      </c>
      <c r="CA195" s="133" t="s">
        <v>599</v>
      </c>
      <c r="CB195" s="133" t="s">
        <v>599</v>
      </c>
      <c r="CC195" s="133" t="s">
        <v>599</v>
      </c>
      <c r="CD195" s="133" t="s">
        <v>599</v>
      </c>
      <c r="CE195" s="133" t="s">
        <v>599</v>
      </c>
      <c r="CF195" s="133" t="s">
        <v>599</v>
      </c>
    </row>
    <row r="196" spans="1:84">
      <c r="A196" s="10"/>
      <c r="B196" s="11"/>
      <c r="C196" s="12"/>
      <c r="D196" s="720">
        <f>MAX(_xll.xlDateSettle("TARGET",$D$4,2),L196)</f>
        <v>43179</v>
      </c>
      <c r="E196" s="718" t="s">
        <v>674</v>
      </c>
      <c r="F196" s="13" t="s">
        <v>1518</v>
      </c>
      <c r="G196" s="35">
        <v>43429</v>
      </c>
      <c r="H196" s="37">
        <v>1</v>
      </c>
      <c r="I196" s="11">
        <v>43429</v>
      </c>
      <c r="J196" s="11">
        <v>41238</v>
      </c>
      <c r="K196" s="11">
        <v>41603</v>
      </c>
      <c r="L196" s="11">
        <v>41450</v>
      </c>
      <c r="M196" s="12">
        <v>98.72</v>
      </c>
      <c r="N196" s="12" t="s">
        <v>1525</v>
      </c>
      <c r="O196" s="12" t="s">
        <v>1178</v>
      </c>
      <c r="P196" s="12" t="s">
        <v>1526</v>
      </c>
      <c r="Q196" s="15">
        <v>19930000000</v>
      </c>
      <c r="R196" s="12"/>
      <c r="S196" s="43">
        <f>_xll.RtGet("IDN",$X196,$S$9)</f>
        <v>101.081</v>
      </c>
      <c r="T196" s="43">
        <f>_xll.RtGet("IDN",$X196,$T$9)</f>
        <v>101.17100000000001</v>
      </c>
      <c r="U196" s="25">
        <f t="shared" si="25"/>
        <v>101.126</v>
      </c>
      <c r="V196" s="12"/>
      <c r="W196" s="25">
        <f t="shared" si="26"/>
        <v>101.126</v>
      </c>
      <c r="X196" s="14" t="str">
        <f t="shared" si="20"/>
        <v>FR0011523257=</v>
      </c>
      <c r="Y196" s="14"/>
      <c r="Z196" s="14"/>
      <c r="AA196" s="14"/>
      <c r="AB196" s="14"/>
      <c r="AC196" s="14"/>
      <c r="AD196" s="34">
        <f>IF(ISNUMBER($D196),_xll.xlBondYield($F196,$H196,$G196,$J196,$K196,$L196,$M196,$D196,$W196,IF(NOT($H196),TRUE,FALSE)),"")</f>
        <v>-6.340786321042088E-3</v>
      </c>
      <c r="AE196" s="12"/>
      <c r="AF196" s="12"/>
      <c r="AG196" s="12"/>
      <c r="AH196" s="14"/>
      <c r="AI196" s="14"/>
      <c r="AJ196" s="14"/>
      <c r="AK196" s="246">
        <f>IF(ISNUMBER($D196),_xll.xlBondAswSpread($F196&amp;T(TYPE($AV$1)),$H196,$G196,$J196,$K196,$L196,$M196,$D196,$W196,IF(NOT($H196),TRUE,FALSE),curveName,curveName,,,2),"")</f>
        <v>-0.40705072605986425</v>
      </c>
      <c r="AL196" s="213">
        <f>IF($W196&gt;0,_xll.xlBondZSpread(F196&amp;T(TYPE($AV$1)),H196,G196,J196,K196,L196,M196,D196,U196,"annual",5,IF(NOT($H196),TRUE,FALSE),curveName)*100,"")</f>
        <v>-40.047532120700637</v>
      </c>
      <c r="AM196" s="266">
        <f>(-IF($AL$9="",VLOOKUP(VLOOKUP(E196,'DB Basis'!$D$2:$H$65205,4,0),Bonds!$AR$1:$AS$6,2,0),$AL$9)*VLOOKUP(E196,'DB Basis'!$D$2:$E$65205,2,0))+IF(V196="",W196,V196)</f>
        <v>63.869127500000005</v>
      </c>
      <c r="AN196" s="274" t="str">
        <f>IF($AN$9+(($AL$9-$AM$9))*('DB Basis'!F356/10-'DB Basis'!E356),," ")</f>
        <v xml:space="preserve"> </v>
      </c>
      <c r="AO196" s="639">
        <f>IF(U196&gt;0,_xll.xlShmImplSwap2(curveName&amp;T(TYPE($AV$1)),curveName,D196,G196,,1,8,2,4),"")</f>
        <v>-2.3263607135096723E-3</v>
      </c>
      <c r="AP196" s="640">
        <f t="shared" si="21"/>
        <v>-4.0144256075324153E-3</v>
      </c>
      <c r="AQ196" s="386">
        <f t="shared" si="22"/>
        <v>2.5355580368097561</v>
      </c>
      <c r="AR196" s="386">
        <f t="shared" si="23"/>
        <v>-20.903096092245384</v>
      </c>
      <c r="AS196" s="388"/>
      <c r="AT196" s="242">
        <f t="shared" si="24"/>
        <v>-0.62539262344524693</v>
      </c>
      <c r="AU196" s="686" t="str">
        <f t="shared" si="19"/>
        <v>OAT  25-Nov-18  1</v>
      </c>
      <c r="AV196" s="702"/>
      <c r="AW196" s="684"/>
      <c r="AX196" s="684"/>
      <c r="AY196" s="684"/>
      <c r="AZ196" s="684"/>
      <c r="BA196" s="684"/>
      <c r="BB196" s="683"/>
      <c r="BC196" s="696"/>
      <c r="BE196" s="706">
        <f>_xll.xlDateShiftMonth(BE195,1)</f>
        <v>48819</v>
      </c>
      <c r="BF196" s="707">
        <v>2.4547254169610615E-2</v>
      </c>
      <c r="BU196" s="133" t="s">
        <v>599</v>
      </c>
      <c r="BV196" s="133" t="s">
        <v>599</v>
      </c>
      <c r="BW196" s="133" t="s">
        <v>599</v>
      </c>
      <c r="BX196" s="133" t="s">
        <v>599</v>
      </c>
      <c r="BY196" s="133" t="s">
        <v>599</v>
      </c>
      <c r="BZ196" s="133" t="s">
        <v>599</v>
      </c>
      <c r="CA196" s="133" t="s">
        <v>599</v>
      </c>
      <c r="CB196" s="133" t="s">
        <v>599</v>
      </c>
      <c r="CC196" s="133" t="s">
        <v>599</v>
      </c>
      <c r="CD196" s="133" t="s">
        <v>599</v>
      </c>
      <c r="CE196" s="133" t="s">
        <v>599</v>
      </c>
      <c r="CF196" s="133" t="s">
        <v>599</v>
      </c>
    </row>
    <row r="197" spans="1:84">
      <c r="A197" s="10"/>
      <c r="B197" s="11"/>
      <c r="C197" s="12"/>
      <c r="D197" s="720">
        <f>MAX(_xll.xlDateSettle("TARGET",$D$4,2),L197)</f>
        <v>43179</v>
      </c>
      <c r="E197" s="718" t="s">
        <v>796</v>
      </c>
      <c r="F197" s="13" t="s">
        <v>1518</v>
      </c>
      <c r="G197" s="35">
        <v>43521</v>
      </c>
      <c r="H197" s="37">
        <v>0</v>
      </c>
      <c r="I197" s="11">
        <v>43521</v>
      </c>
      <c r="J197" s="11">
        <v>42060</v>
      </c>
      <c r="K197" s="11">
        <v>42425</v>
      </c>
      <c r="L197" s="11">
        <v>42394</v>
      </c>
      <c r="M197" s="12">
        <v>100.61</v>
      </c>
      <c r="N197" s="12" t="s">
        <v>1527</v>
      </c>
      <c r="O197" s="12" t="s">
        <v>1178</v>
      </c>
      <c r="P197" s="12" t="s">
        <v>1528</v>
      </c>
      <c r="Q197" s="15">
        <v>14590000000</v>
      </c>
      <c r="R197" s="12"/>
      <c r="S197" s="43">
        <f>_xll.RtGet("IDN",$X197,$S$9)</f>
        <v>100.52500000000001</v>
      </c>
      <c r="T197" s="43">
        <f>_xll.RtGet("IDN",$X197,$T$9)</f>
        <v>100.645</v>
      </c>
      <c r="U197" s="25">
        <f t="shared" si="25"/>
        <v>100.58500000000001</v>
      </c>
      <c r="V197" s="12"/>
      <c r="W197" s="25">
        <f t="shared" si="26"/>
        <v>100.58500000000001</v>
      </c>
      <c r="X197" s="14" t="str">
        <f t="shared" si="20"/>
        <v>FR0013101466=</v>
      </c>
      <c r="Y197" s="14"/>
      <c r="Z197" s="14"/>
      <c r="AA197" s="14"/>
      <c r="AB197" s="14"/>
      <c r="AC197" s="14"/>
      <c r="AD197" s="34" t="str">
        <f>IF(ISNUMBER($D197),_xll.xlBondYield($F197,$H197,$G197,$J197,$K197,$L197,$M197,$D197,$W197,IF(NOT($H197),TRUE,FALSE)),"")</f>
        <v>Bond not alive on calculation date</v>
      </c>
      <c r="AE197" s="12"/>
      <c r="AF197" s="12"/>
      <c r="AG197" s="12"/>
      <c r="AH197" s="14"/>
      <c r="AI197" s="14"/>
      <c r="AJ197" s="14"/>
      <c r="AK197" s="246" t="str">
        <f>IF(ISNUMBER($D197),_xll.xlBondAswSpread($F197&amp;T(TYPE($AV$1)),$H197,$G197,$J197,$K197,$L197,$M197,$D197,$W197,IF(NOT($H197),TRUE,FALSE),curveName,curveName,,,2),"")</f>
        <v>Bond not alive on calculation date</v>
      </c>
      <c r="AL197" s="213" t="e">
        <f>IF($W197&gt;0,_xll.xlBondZSpread(F197&amp;T(TYPE($AV$1)),H197,G197,J197,K197,L197,M197,D197,U197,"annual",5,IF(NOT($H197),TRUE,FALSE),curveName)*100,"")</f>
        <v>#VALUE!</v>
      </c>
      <c r="AM197" s="266">
        <f>(-IF($AL$9="",VLOOKUP(VLOOKUP(E197,'DB Basis'!$D$2:$H$65205,4,0),Bonds!$AR$1:$AS$6,2,0),$AL$9)*VLOOKUP(E197,'DB Basis'!$D$2:$E$65205,2,0))+IF(V197="",W197,V197)</f>
        <v>51.244817500000011</v>
      </c>
      <c r="AN197" s="274" t="str">
        <f>IF($AN$9+(($AL$9-$AM$9))*('DB Basis'!F357/10-'DB Basis'!E357),," ")</f>
        <v xml:space="preserve"> </v>
      </c>
      <c r="AO197" s="639">
        <f>IF(U197&gt;0,_xll.xlShmImplSwap2(curveName&amp;T(TYPE($AV$1)),curveName,D197,G197,,1,8,2,4),"")</f>
        <v>-2.394060642580448E-3</v>
      </c>
      <c r="AP197" s="640" t="str">
        <f t="shared" si="21"/>
        <v>-</v>
      </c>
      <c r="AQ197" s="386" t="str">
        <f t="shared" si="22"/>
        <v>-</v>
      </c>
      <c r="AR197" s="386" t="str">
        <f t="shared" si="23"/>
        <v>-</v>
      </c>
      <c r="AS197" s="388"/>
      <c r="AT197" s="242" t="str">
        <f t="shared" si="24"/>
        <v>-</v>
      </c>
      <c r="AU197" s="686" t="str">
        <f t="shared" si="19"/>
        <v>OAT  25-Feb-19  0</v>
      </c>
      <c r="AV197" s="702"/>
      <c r="AW197" s="684"/>
      <c r="AX197" s="684"/>
      <c r="AY197" s="684"/>
      <c r="AZ197" s="684"/>
      <c r="BA197" s="684"/>
      <c r="BB197" s="683"/>
      <c r="BC197" s="696"/>
      <c r="BE197" s="706">
        <f>_xll.xlDateShiftMonth(BE196,1)</f>
        <v>48850</v>
      </c>
      <c r="BF197" s="707">
        <v>2.4598879091788015E-2</v>
      </c>
      <c r="BU197" s="133" t="s">
        <v>599</v>
      </c>
      <c r="BV197" s="133" t="s">
        <v>599</v>
      </c>
      <c r="BW197" s="133" t="s">
        <v>599</v>
      </c>
      <c r="BX197" s="133" t="s">
        <v>599</v>
      </c>
      <c r="BY197" s="133" t="s">
        <v>599</v>
      </c>
      <c r="BZ197" s="133" t="s">
        <v>599</v>
      </c>
      <c r="CA197" s="133" t="s">
        <v>599</v>
      </c>
      <c r="CB197" s="133" t="s">
        <v>599</v>
      </c>
      <c r="CC197" s="133" t="s">
        <v>599</v>
      </c>
      <c r="CD197" s="133" t="s">
        <v>599</v>
      </c>
      <c r="CE197" s="133" t="s">
        <v>599</v>
      </c>
      <c r="CF197" s="133" t="s">
        <v>599</v>
      </c>
    </row>
    <row r="198" spans="1:84">
      <c r="A198" s="10"/>
      <c r="B198" s="11"/>
      <c r="C198" s="12"/>
      <c r="D198" s="720">
        <f>MAX(_xll.xlDateSettle("TARGET",$D$4,2),L198)</f>
        <v>43179</v>
      </c>
      <c r="E198" s="718" t="s">
        <v>675</v>
      </c>
      <c r="F198" s="13" t="s">
        <v>1518</v>
      </c>
      <c r="G198" s="35">
        <v>43580</v>
      </c>
      <c r="H198" s="37">
        <v>4.25</v>
      </c>
      <c r="I198" s="11">
        <v>43580</v>
      </c>
      <c r="J198" s="11">
        <v>37736</v>
      </c>
      <c r="K198" s="11">
        <v>38102</v>
      </c>
      <c r="L198" s="11">
        <v>37782</v>
      </c>
      <c r="M198" s="12">
        <v>99.85</v>
      </c>
      <c r="N198" s="12" t="s">
        <v>1529</v>
      </c>
      <c r="O198" s="12" t="s">
        <v>1178</v>
      </c>
      <c r="P198" s="12" t="s">
        <v>1530</v>
      </c>
      <c r="Q198" s="15">
        <v>30498000000</v>
      </c>
      <c r="R198" s="12"/>
      <c r="S198" s="43">
        <f>_xll.RtGet("IDN",$X198,$S$9)</f>
        <v>105.342</v>
      </c>
      <c r="T198" s="43">
        <f>_xll.RtGet("IDN",$X198,$T$9)</f>
        <v>105.41200000000001</v>
      </c>
      <c r="U198" s="25">
        <f t="shared" si="25"/>
        <v>105.37700000000001</v>
      </c>
      <c r="V198" s="12"/>
      <c r="W198" s="25">
        <f t="shared" si="26"/>
        <v>105.37700000000001</v>
      </c>
      <c r="X198" s="14" t="str">
        <f t="shared" si="20"/>
        <v>FR0000189151=</v>
      </c>
      <c r="Y198" s="14"/>
      <c r="Z198" s="14"/>
      <c r="AA198" s="14"/>
      <c r="AB198" s="14"/>
      <c r="AC198" s="14"/>
      <c r="AD198" s="34">
        <f>IF(ISNUMBER($D198),_xll.xlBondYield($F198,$H198,$G198,$J198,$K198,$L198,$M198,$D198,$W198,IF(NOT($H198),TRUE,FALSE)),"")</f>
        <v>-6.119648219072675E-3</v>
      </c>
      <c r="AE198" s="12"/>
      <c r="AF198" s="12"/>
      <c r="AG198" s="12"/>
      <c r="AH198" s="14"/>
      <c r="AI198" s="14"/>
      <c r="AJ198" s="14"/>
      <c r="AK198" s="246">
        <f>IF(ISNUMBER($D198),_xll.xlBondAswSpread($F198&amp;T(TYPE($AV$1)),$H198,$G198,$J198,$K198,$L198,$M198,$D198,$W198,IF(NOT($H198),TRUE,FALSE),curveName,curveName,,,2),"")</f>
        <v>-0.38355666955994866</v>
      </c>
      <c r="AL198" s="213">
        <f>IF($W198&gt;0,_xll.xlBondZSpread(F198&amp;T(TYPE($AV$1)),H198,G198,J198,K198,L198,M198,D198,U198,"annual",5,IF(NOT($H198),TRUE,FALSE),curveName)*100,"")</f>
        <v>-36.915790345459044</v>
      </c>
      <c r="AM198" s="266">
        <f>(-IF($AL$9="",VLOOKUP(VLOOKUP(E198,'DB Basis'!$D$2:$H$65205,4,0),Bonds!$AR$1:$AS$6,2,0),$AL$9)*VLOOKUP(E198,'DB Basis'!$D$2:$E$65205,2,0))+IF(V198="",W198,V198)</f>
        <v>45.296097500000009</v>
      </c>
      <c r="AN198" s="274" t="str">
        <f>IF($AN$9+(($AL$9-$AM$9))*('DB Basis'!F358/10-'DB Basis'!E358),," ")</f>
        <v xml:space="preserve"> </v>
      </c>
      <c r="AO198" s="639">
        <f>IF(U198&gt;0,_xll.xlShmImplSwap2(curveName&amp;T(TYPE($AV$1)),curveName,D198,G198,,1,8,2,4),"")</f>
        <v>-2.4267724180770446E-3</v>
      </c>
      <c r="AP198" s="640">
        <f t="shared" si="21"/>
        <v>-3.6928758009956305E-3</v>
      </c>
      <c r="AQ198" s="386" t="str">
        <f t="shared" si="22"/>
        <v>-</v>
      </c>
      <c r="AR198" s="386" t="str">
        <f t="shared" si="23"/>
        <v>-</v>
      </c>
      <c r="AS198" s="388"/>
      <c r="AT198" s="242">
        <f t="shared" si="24"/>
        <v>-0.60358174215511318</v>
      </c>
      <c r="AU198" s="686" t="str">
        <f t="shared" si="19"/>
        <v>OAT  25-Apr-19  4.25</v>
      </c>
      <c r="AV198" s="702"/>
      <c r="AW198" s="684"/>
      <c r="AX198" s="684"/>
      <c r="AY198" s="684"/>
      <c r="AZ198" s="684"/>
      <c r="BA198" s="684"/>
      <c r="BB198" s="683"/>
      <c r="BC198" s="696"/>
      <c r="BE198" s="706">
        <f>_xll.xlDateShiftMonth(BE197,1)</f>
        <v>48880</v>
      </c>
      <c r="BF198" s="707">
        <v>2.4648047587342365E-2</v>
      </c>
      <c r="BU198" s="133" t="s">
        <v>599</v>
      </c>
      <c r="BV198" s="133" t="s">
        <v>599</v>
      </c>
      <c r="BW198" s="133" t="s">
        <v>599</v>
      </c>
      <c r="BX198" s="133" t="s">
        <v>599</v>
      </c>
      <c r="BY198" s="133" t="s">
        <v>599</v>
      </c>
      <c r="BZ198" s="133" t="s">
        <v>599</v>
      </c>
      <c r="CA198" s="133" t="s">
        <v>599</v>
      </c>
      <c r="CB198" s="133" t="s">
        <v>599</v>
      </c>
      <c r="CC198" s="133" t="s">
        <v>599</v>
      </c>
      <c r="CD198" s="133" t="s">
        <v>599</v>
      </c>
      <c r="CE198" s="133" t="s">
        <v>599</v>
      </c>
      <c r="CF198" s="133" t="s">
        <v>599</v>
      </c>
    </row>
    <row r="199" spans="1:84">
      <c r="A199" s="10"/>
      <c r="B199" s="11"/>
      <c r="C199" s="12"/>
      <c r="D199" s="720">
        <f>MAX(_xll.xlDateSettle("TARGET",$D$4,2),L199)</f>
        <v>43179</v>
      </c>
      <c r="E199" s="718" t="s">
        <v>415</v>
      </c>
      <c r="F199" s="13" t="s">
        <v>1518</v>
      </c>
      <c r="G199" s="35">
        <v>43610</v>
      </c>
      <c r="H199" s="37">
        <v>1</v>
      </c>
      <c r="I199" s="11">
        <v>43610</v>
      </c>
      <c r="J199" s="11">
        <v>41419</v>
      </c>
      <c r="K199" s="11">
        <v>41784</v>
      </c>
      <c r="L199" s="11">
        <v>41667</v>
      </c>
      <c r="M199" s="12">
        <v>98.76</v>
      </c>
      <c r="N199" s="12" t="s">
        <v>1531</v>
      </c>
      <c r="O199" s="12" t="s">
        <v>1178</v>
      </c>
      <c r="P199" s="12" t="s">
        <v>1532</v>
      </c>
      <c r="Q199" s="15">
        <v>18080000000</v>
      </c>
      <c r="R199" s="12"/>
      <c r="S199" s="43">
        <f>_xll.RtGet("IDN",$X199,$S$9)</f>
        <v>101.85600000000001</v>
      </c>
      <c r="T199" s="43">
        <f>_xll.RtGet("IDN",$X199,$T$9)</f>
        <v>101.976</v>
      </c>
      <c r="U199" s="25">
        <f t="shared" si="25"/>
        <v>101.916</v>
      </c>
      <c r="V199" s="12"/>
      <c r="W199" s="25">
        <f t="shared" si="26"/>
        <v>101.916</v>
      </c>
      <c r="X199" s="14" t="str">
        <f t="shared" si="20"/>
        <v>FR0011708080=</v>
      </c>
      <c r="Y199" s="14"/>
      <c r="Z199" s="14"/>
      <c r="AA199" s="14"/>
      <c r="AB199" s="14"/>
      <c r="AC199" s="14"/>
      <c r="AD199" s="34">
        <f>IF(ISNUMBER($D199),_xll.xlBondYield($F199,$H199,$G199,$J199,$K199,$L199,$M199,$D199,$W199,IF(NOT($H199),TRUE,FALSE)),"")</f>
        <v>-6.1125413312686644E-3</v>
      </c>
      <c r="AE199" s="12"/>
      <c r="AF199" s="12"/>
      <c r="AG199" s="12"/>
      <c r="AH199" s="14"/>
      <c r="AI199" s="14"/>
      <c r="AJ199" s="14"/>
      <c r="AK199" s="246">
        <f>IF(ISNUMBER($D199),_xll.xlBondAswSpread($F199&amp;T(TYPE($AV$1)),$H199,$G199,$J199,$K199,$L199,$M199,$D199,$W199,IF(NOT($H199),TRUE,FALSE),curveName,curveName,,,2),"")</f>
        <v>-0.37020463416764487</v>
      </c>
      <c r="AL199" s="213">
        <f>IF($W199&gt;0,_xll.xlBondZSpread(F199&amp;T(TYPE($AV$1)),H199,G199,J199,K199,L199,M199,D199,U199,"annual",5,IF(NOT($H199),TRUE,FALSE),curveName)*100,"")</f>
        <v>-36.521991709356385</v>
      </c>
      <c r="AM199" s="266">
        <f>(-IF($AL$9="",VLOOKUP(VLOOKUP(E199,'DB Basis'!$D$2:$H$65205,4,0),Bonds!$AR$1:$AS$6,2,0),$AL$9)*VLOOKUP(E199,'DB Basis'!$D$2:$E$65205,2,0))+IF(V199="",W199,V199)</f>
        <v>39.821212499999994</v>
      </c>
      <c r="AN199" s="274" t="str">
        <f>IF($AN$9+(($AL$9-$AM$9))*('DB Basis'!F359/10-'DB Basis'!E359),," ")</f>
        <v xml:space="preserve"> </v>
      </c>
      <c r="AO199" s="639">
        <f>IF(U199&gt;0,_xll.xlShmImplSwap2(curveName&amp;T(TYPE($AV$1)),curveName,D199,G199,,1,8,2,4),"")</f>
        <v>-2.4314177423225801E-3</v>
      </c>
      <c r="AP199" s="640">
        <f t="shared" si="21"/>
        <v>-3.6811235889460843E-3</v>
      </c>
      <c r="AQ199" s="386">
        <f t="shared" si="22"/>
        <v>0.86467134948796154</v>
      </c>
      <c r="AR199" s="386">
        <f t="shared" si="23"/>
        <v>1.4298524660281189</v>
      </c>
      <c r="AS199" s="388"/>
      <c r="AT199" s="242">
        <f t="shared" si="24"/>
        <v>-0.60288078883745722</v>
      </c>
      <c r="AU199" s="686" t="str">
        <f t="shared" si="19"/>
        <v>OAT  25-May-19  1</v>
      </c>
      <c r="AV199" s="702"/>
      <c r="AW199" s="684"/>
      <c r="AX199" s="684"/>
      <c r="AY199" s="684"/>
      <c r="AZ199" s="684"/>
      <c r="BA199" s="684"/>
      <c r="BB199" s="683"/>
      <c r="BC199" s="696"/>
      <c r="BE199" s="706">
        <f>_xll.xlDateShiftMonth(BE198,1)</f>
        <v>48911</v>
      </c>
      <c r="BF199" s="707">
        <v>2.469805947387109E-2</v>
      </c>
      <c r="BU199" s="133" t="s">
        <v>599</v>
      </c>
      <c r="BV199" s="133" t="s">
        <v>599</v>
      </c>
      <c r="BW199" s="133" t="s">
        <v>599</v>
      </c>
      <c r="BX199" s="133" t="s">
        <v>599</v>
      </c>
      <c r="BY199" s="133" t="s">
        <v>599</v>
      </c>
      <c r="BZ199" s="133" t="s">
        <v>599</v>
      </c>
      <c r="CA199" s="133" t="s">
        <v>599</v>
      </c>
      <c r="CB199" s="133" t="s">
        <v>599</v>
      </c>
      <c r="CC199" s="133" t="s">
        <v>599</v>
      </c>
      <c r="CD199" s="133" t="s">
        <v>599</v>
      </c>
      <c r="CE199" s="133" t="s">
        <v>599</v>
      </c>
      <c r="CF199" s="133" t="s">
        <v>599</v>
      </c>
    </row>
    <row r="200" spans="1:84">
      <c r="A200" s="10"/>
      <c r="B200" s="11"/>
      <c r="C200" s="12"/>
      <c r="D200" s="720">
        <f>MAX(_xll.xlDateSettle("TARGET",$D$4,2),L200)</f>
        <v>43179</v>
      </c>
      <c r="E200" s="718" t="s">
        <v>676</v>
      </c>
      <c r="F200" s="13" t="s">
        <v>1518</v>
      </c>
      <c r="G200" s="35">
        <v>43763</v>
      </c>
      <c r="H200" s="37">
        <v>3.75</v>
      </c>
      <c r="I200" s="11">
        <v>43763</v>
      </c>
      <c r="J200" s="11">
        <v>39746</v>
      </c>
      <c r="K200" s="11">
        <v>40111</v>
      </c>
      <c r="L200" s="11">
        <v>40001</v>
      </c>
      <c r="M200" s="12">
        <v>99.37</v>
      </c>
      <c r="N200" s="12" t="s">
        <v>1535</v>
      </c>
      <c r="O200" s="12" t="s">
        <v>1178</v>
      </c>
      <c r="P200" s="12" t="s">
        <v>1536</v>
      </c>
      <c r="Q200" s="15">
        <v>33325000000</v>
      </c>
      <c r="R200" s="12"/>
      <c r="S200" s="43">
        <f>_xll.RtGet("IDN",$X200,$S$9)</f>
        <v>106.92100000000001</v>
      </c>
      <c r="T200" s="43">
        <f>_xll.RtGet("IDN",$X200,$T$9)</f>
        <v>107.021</v>
      </c>
      <c r="U200" s="25">
        <f t="shared" si="25"/>
        <v>106.971</v>
      </c>
      <c r="V200" s="12"/>
      <c r="W200" s="25">
        <f t="shared" si="26"/>
        <v>106.971</v>
      </c>
      <c r="X200" s="14" t="str">
        <f t="shared" si="20"/>
        <v>FR0010776161=</v>
      </c>
      <c r="Y200" s="14"/>
      <c r="Z200" s="14"/>
      <c r="AA200" s="14"/>
      <c r="AB200" s="14"/>
      <c r="AC200" s="14"/>
      <c r="AD200" s="34">
        <f>IF(ISNUMBER($D200),_xll.xlBondYield($F200,$H200,$G200,$J200,$K200,$L200,$M200,$D200,$W200,IF(NOT($H200),TRUE,FALSE)),"")</f>
        <v>-5.7284407264760057E-3</v>
      </c>
      <c r="AE200" s="12"/>
      <c r="AF200" s="12"/>
      <c r="AG200" s="12"/>
      <c r="AH200" s="14"/>
      <c r="AI200" s="14"/>
      <c r="AJ200" s="14"/>
      <c r="AK200" s="246">
        <f>IF(ISNUMBER($D200),_xll.xlBondAswSpread($F200&amp;T(TYPE($AV$1)),$H200,$G200,$J200,$K200,$L200,$M200,$D200,$W200,IF(NOT($H200),TRUE,FALSE),curveName,curveName,,,2),"")</f>
        <v>-0.36873186853298651</v>
      </c>
      <c r="AL200" s="213">
        <f>IF($W200&gt;0,_xll.xlBondZSpread(F200&amp;T(TYPE($AV$1)),H200,G200,J200,K200,L200,M200,D200,U200,"annual",5,IF(NOT($H200),TRUE,FALSE),curveName)*100,"")</f>
        <v>-35.280675571000764</v>
      </c>
      <c r="AM200" s="266">
        <f>(-IF($AL$9="",VLOOKUP(VLOOKUP(E200,'DB Basis'!$D$2:$H$65205,4,0),Bonds!$AR$1:$AS$6,2,0),$AL$9)*VLOOKUP(E200,'DB Basis'!$D$2:$E$65205,2,0))+IF(V200="",W200,V200)</f>
        <v>20.597710000000006</v>
      </c>
      <c r="AN200" s="274" t="str">
        <f>IF($AN$9+(($AL$9-$AM$9))*('DB Basis'!F360/10-'DB Basis'!E360),," ")</f>
        <v xml:space="preserve"> </v>
      </c>
      <c r="AO200" s="639">
        <f>IF(U200&gt;0,_xll.xlShmImplSwap2(curveName&amp;T(TYPE($AV$1)),curveName,D200,G200,,1,8,2,4),"")</f>
        <v>-2.2001861900049061E-3</v>
      </c>
      <c r="AP200" s="640">
        <f t="shared" si="21"/>
        <v>-3.5282545364710995E-3</v>
      </c>
      <c r="AQ200" s="386">
        <f t="shared" si="22"/>
        <v>9.1631843627006813</v>
      </c>
      <c r="AR200" s="386">
        <f t="shared" si="23"/>
        <v>3.6468760884555191</v>
      </c>
      <c r="AS200" s="388"/>
      <c r="AT200" s="242">
        <f t="shared" si="24"/>
        <v>-0.56499689357023608</v>
      </c>
      <c r="AU200" s="686" t="str">
        <f t="shared" si="19"/>
        <v>OAT  25-Oct-19  3.75</v>
      </c>
      <c r="AV200" s="702"/>
      <c r="AW200" s="684"/>
      <c r="AX200" s="684"/>
      <c r="AY200" s="684"/>
      <c r="AZ200" s="684"/>
      <c r="BA200" s="684"/>
      <c r="BB200" s="683"/>
      <c r="BC200" s="696"/>
      <c r="BE200" s="706">
        <f>_xll.xlDateShiftMonth(BE199,1)</f>
        <v>48941</v>
      </c>
      <c r="BF200" s="707">
        <v>2.4745707775394532E-2</v>
      </c>
      <c r="BU200" s="133" t="s">
        <v>599</v>
      </c>
      <c r="BV200" s="133" t="s">
        <v>599</v>
      </c>
      <c r="BW200" s="133" t="s">
        <v>599</v>
      </c>
      <c r="BX200" s="133" t="s">
        <v>599</v>
      </c>
      <c r="BY200" s="133" t="s">
        <v>599</v>
      </c>
      <c r="BZ200" s="133" t="s">
        <v>599</v>
      </c>
      <c r="CA200" s="133" t="s">
        <v>599</v>
      </c>
      <c r="CB200" s="133" t="s">
        <v>599</v>
      </c>
      <c r="CC200" s="133" t="s">
        <v>599</v>
      </c>
      <c r="CD200" s="133" t="s">
        <v>599</v>
      </c>
      <c r="CE200" s="133" t="s">
        <v>599</v>
      </c>
      <c r="CF200" s="133" t="s">
        <v>599</v>
      </c>
    </row>
    <row r="201" spans="1:84">
      <c r="A201" s="10"/>
      <c r="B201" s="11"/>
      <c r="C201" s="12"/>
      <c r="D201" s="720">
        <f>MAX(_xll.xlDateSettle("TARGET",$D$4,2),L201)</f>
        <v>43179</v>
      </c>
      <c r="E201" s="718" t="s">
        <v>940</v>
      </c>
      <c r="F201" s="13" t="s">
        <v>1518</v>
      </c>
      <c r="G201" s="35">
        <v>43763</v>
      </c>
      <c r="H201" s="37">
        <v>8.5</v>
      </c>
      <c r="I201" s="11">
        <v>43763</v>
      </c>
      <c r="J201" s="11">
        <v>32441</v>
      </c>
      <c r="K201" s="11">
        <v>32806</v>
      </c>
      <c r="L201" s="11">
        <v>32533</v>
      </c>
      <c r="M201" s="12">
        <v>95.8</v>
      </c>
      <c r="N201" s="12" t="s">
        <v>1533</v>
      </c>
      <c r="O201" s="12" t="s">
        <v>1178</v>
      </c>
      <c r="P201" s="12" t="s">
        <v>1534</v>
      </c>
      <c r="Q201" s="15">
        <v>8844392893</v>
      </c>
      <c r="R201" s="12"/>
      <c r="S201" s="43">
        <f>_xll.RtGet("IDN",$X201,$S$9)</f>
        <v>114.595</v>
      </c>
      <c r="T201" s="43">
        <f>_xll.RtGet("IDN",$X201,$T$9)</f>
        <v>114.685</v>
      </c>
      <c r="U201" s="25">
        <f t="shared" si="25"/>
        <v>114.64</v>
      </c>
      <c r="V201" s="12"/>
      <c r="W201" s="25">
        <f t="shared" si="26"/>
        <v>114.64</v>
      </c>
      <c r="X201" s="14" t="str">
        <f t="shared" si="20"/>
        <v>FR0000570921=</v>
      </c>
      <c r="Y201" s="14"/>
      <c r="Z201" s="14"/>
      <c r="AA201" s="14"/>
      <c r="AB201" s="14"/>
      <c r="AC201" s="14"/>
      <c r="AD201" s="34">
        <f>IF(ISNUMBER($D201),_xll.xlBondYield($F201,$H201,$G201,$J201,$K201,$L201,$M201,$D201,$W201,IF(NOT($H201),TRUE,FALSE)),"")</f>
        <v>-5.7766080335594217E-3</v>
      </c>
      <c r="AE201" s="12"/>
      <c r="AF201" s="12"/>
      <c r="AG201" s="12"/>
      <c r="AH201" s="14"/>
      <c r="AI201" s="14"/>
      <c r="AJ201" s="14"/>
      <c r="AK201" s="246">
        <f>IF(ISNUMBER($D201),_xll.xlBondAswSpread($F201&amp;T(TYPE($AV$1)),$H201,$G201,$J201,$K201,$L201,$M201,$D201,$W201,IF(NOT($H201),TRUE,FALSE),curveName,curveName,,,2),"")</f>
        <v>-0.39645489538363687</v>
      </c>
      <c r="AL201" s="213">
        <f>IF($W201&gt;0,_xll.xlBondZSpread(F201&amp;T(TYPE($AV$1)),H201,G201,J201,K201,L201,M201,D201,U201,"annual",5,IF(NOT($H201),TRUE,FALSE),curveName)*100,"")</f>
        <v>-35.714631621625834</v>
      </c>
      <c r="AM201" s="266" t="e">
        <f>(-IF($AL$9="",VLOOKUP(VLOOKUP(E201,'DB Basis'!$D$2:$H$65205,4,0),Bonds!$AR$1:$AS$6,2,0),$AL$9)*VLOOKUP(E201,'DB Basis'!$D$2:$E$65205,2,0))+IF(V201="",W201,V201)</f>
        <v>#N/A</v>
      </c>
      <c r="AN201" s="274" t="str">
        <f>IF($AN$9+(($AL$9-$AM$9))*('DB Basis'!F361/10-'DB Basis'!E361),," ")</f>
        <v xml:space="preserve"> </v>
      </c>
      <c r="AO201" s="639">
        <f>IF(U201&gt;0,_xll.xlShmImplSwap2(curveName&amp;T(TYPE($AV$1)),curveName,D201,G201,,1,8,2,4),"")</f>
        <v>-2.2001861900049061E-3</v>
      </c>
      <c r="AP201" s="640">
        <f t="shared" si="21"/>
        <v>-3.5764218435545155E-3</v>
      </c>
      <c r="AQ201" s="386" t="str">
        <f t="shared" si="22"/>
        <v>-</v>
      </c>
      <c r="AR201" s="386" t="str">
        <f t="shared" si="23"/>
        <v>-</v>
      </c>
      <c r="AS201" s="388"/>
      <c r="AT201" s="242">
        <f t="shared" si="24"/>
        <v>-0.56974764166613467</v>
      </c>
      <c r="AU201" s="686" t="str">
        <f t="shared" si="19"/>
        <v>OAT  25-Oct-19  8.5</v>
      </c>
      <c r="AV201" s="702"/>
      <c r="AW201" s="684"/>
      <c r="AX201" s="684"/>
      <c r="AY201" s="684"/>
      <c r="AZ201" s="684"/>
      <c r="BA201" s="684"/>
      <c r="BB201" s="683"/>
      <c r="BC201" s="696"/>
      <c r="BE201" s="706">
        <f>_xll.xlDateShiftMonth(BE200,1)</f>
        <v>48972</v>
      </c>
      <c r="BF201" s="707">
        <v>2.4794189518471153E-2</v>
      </c>
      <c r="BU201" s="133" t="s">
        <v>599</v>
      </c>
      <c r="BV201" s="133" t="s">
        <v>599</v>
      </c>
      <c r="BW201" s="133" t="s">
        <v>599</v>
      </c>
      <c r="BX201" s="133" t="s">
        <v>599</v>
      </c>
      <c r="BY201" s="133" t="s">
        <v>599</v>
      </c>
      <c r="BZ201" s="133" t="s">
        <v>599</v>
      </c>
      <c r="CA201" s="133" t="s">
        <v>599</v>
      </c>
      <c r="CB201" s="133" t="s">
        <v>599</v>
      </c>
      <c r="CC201" s="133" t="s">
        <v>599</v>
      </c>
      <c r="CD201" s="133" t="s">
        <v>599</v>
      </c>
      <c r="CE201" s="133" t="s">
        <v>599</v>
      </c>
      <c r="CF201" s="133" t="s">
        <v>599</v>
      </c>
    </row>
    <row r="202" spans="1:84">
      <c r="A202" s="10"/>
      <c r="B202" s="11"/>
      <c r="C202" s="12"/>
      <c r="D202" s="720">
        <f>MAX(_xll.xlDateSettle("TARGET",$D$4,2),L202)</f>
        <v>43179</v>
      </c>
      <c r="E202" s="718" t="s">
        <v>416</v>
      </c>
      <c r="F202" s="13" t="s">
        <v>1518</v>
      </c>
      <c r="G202" s="35">
        <v>43794</v>
      </c>
      <c r="H202" s="37">
        <v>0.5</v>
      </c>
      <c r="I202" s="11">
        <v>43794</v>
      </c>
      <c r="J202" s="11">
        <v>41603</v>
      </c>
      <c r="K202" s="11">
        <v>41968</v>
      </c>
      <c r="L202" s="11">
        <v>41814</v>
      </c>
      <c r="M202" s="12">
        <v>99.02</v>
      </c>
      <c r="N202" s="12" t="s">
        <v>1537</v>
      </c>
      <c r="O202" s="12" t="s">
        <v>1178</v>
      </c>
      <c r="P202" s="12" t="s">
        <v>1538</v>
      </c>
      <c r="Q202" s="15">
        <v>27837000000</v>
      </c>
      <c r="R202" s="12"/>
      <c r="S202" s="43">
        <f>_xll.RtGet("IDN",$X202,$S$9)</f>
        <v>101.76600000000001</v>
      </c>
      <c r="T202" s="43">
        <f>_xll.RtGet("IDN",$X202,$T$9)</f>
        <v>101.836</v>
      </c>
      <c r="U202" s="25">
        <f t="shared" si="25"/>
        <v>101.801</v>
      </c>
      <c r="V202" s="12"/>
      <c r="W202" s="25">
        <f t="shared" si="26"/>
        <v>101.801</v>
      </c>
      <c r="X202" s="14" t="str">
        <f t="shared" si="20"/>
        <v>FR0011993179=</v>
      </c>
      <c r="Y202" s="14"/>
      <c r="Z202" s="14"/>
      <c r="AA202" s="14"/>
      <c r="AB202" s="14"/>
      <c r="AC202" s="14"/>
      <c r="AD202" s="34">
        <f>IF(ISNUMBER($D202),_xll.xlBondYield($F202,$H202,$G202,$J202,$K202,$L202,$M202,$D202,$W202,IF(NOT($H202),TRUE,FALSE)),"")</f>
        <v>-5.6093773324105084E-3</v>
      </c>
      <c r="AE202" s="12"/>
      <c r="AF202" s="12"/>
      <c r="AG202" s="12"/>
      <c r="AH202" s="14"/>
      <c r="AI202" s="14"/>
      <c r="AJ202" s="14"/>
      <c r="AK202" s="246">
        <f>IF(ISNUMBER($D202),_xll.xlBondAswSpread($F202&amp;T(TYPE($AV$1)),$H202,$G202,$J202,$K202,$L202,$M202,$D202,$W202,IF(NOT($H202),TRUE,FALSE),curveName,curveName,,,2),"")</f>
        <v>-0.35260210371792361</v>
      </c>
      <c r="AL202" s="213">
        <f>IF($W202&gt;0,_xll.xlBondZSpread(F202&amp;T(TYPE($AV$1)),H202,G202,J202,K202,L202,M202,D202,U202,"annual",5,IF(NOT($H202),TRUE,FALSE),curveName)*100,"")</f>
        <v>-35.003599996874989</v>
      </c>
      <c r="AM202" s="266">
        <f>(-IF($AL$9="",VLOOKUP(VLOOKUP(E202,'DB Basis'!$D$2:$H$65205,4,0),Bonds!$AR$1:$AS$6,2,0),$AL$9)*VLOOKUP(E202,'DB Basis'!$D$2:$E$65205,2,0))+IF(V202="",W202,V202)</f>
        <v>14.868297500000011</v>
      </c>
      <c r="AN202" s="274" t="str">
        <f>IF($AN$9+(($AL$9-$AM$9))*('DB Basis'!F362/10-'DB Basis'!E362),," ")</f>
        <v xml:space="preserve"> </v>
      </c>
      <c r="AO202" s="639">
        <f>IF(U202&gt;0,_xll.xlShmImplSwap2(curveName&amp;T(TYPE($AV$1)),curveName,D202,G202,,1,8,2,4),"")</f>
        <v>-2.1110569669930356E-3</v>
      </c>
      <c r="AP202" s="640">
        <f t="shared" si="21"/>
        <v>-3.4983203654174728E-3</v>
      </c>
      <c r="AQ202" s="386">
        <f t="shared" si="22"/>
        <v>19.690066425597845</v>
      </c>
      <c r="AR202" s="386">
        <f t="shared" si="23"/>
        <v>9.1958192000066372</v>
      </c>
      <c r="AS202" s="388"/>
      <c r="AT202" s="242">
        <f t="shared" si="24"/>
        <v>-0.55325365470350218</v>
      </c>
      <c r="AU202" s="686" t="str">
        <f t="shared" si="19"/>
        <v>OAT  25-Nov-19  0.5</v>
      </c>
      <c r="AV202" s="702"/>
      <c r="AW202" s="684"/>
      <c r="AX202" s="684"/>
      <c r="AY202" s="684"/>
      <c r="AZ202" s="684"/>
      <c r="BA202" s="684"/>
      <c r="BB202" s="683"/>
      <c r="BC202" s="696"/>
      <c r="BE202" s="706">
        <f>_xll.xlDateShiftMonth(BE201,1)</f>
        <v>49003</v>
      </c>
      <c r="BF202" s="707">
        <v>2.4841924860785083E-2</v>
      </c>
      <c r="BU202" s="133" t="s">
        <v>599</v>
      </c>
      <c r="BV202" s="133" t="s">
        <v>599</v>
      </c>
      <c r="BW202" s="133" t="s">
        <v>599</v>
      </c>
      <c r="BX202" s="133" t="s">
        <v>599</v>
      </c>
      <c r="BY202" s="133" t="s">
        <v>599</v>
      </c>
      <c r="BZ202" s="133" t="s">
        <v>599</v>
      </c>
      <c r="CA202" s="133" t="s">
        <v>599</v>
      </c>
      <c r="CB202" s="133" t="s">
        <v>599</v>
      </c>
      <c r="CC202" s="133" t="s">
        <v>599</v>
      </c>
      <c r="CD202" s="133" t="s">
        <v>599</v>
      </c>
      <c r="CE202" s="133" t="s">
        <v>599</v>
      </c>
      <c r="CF202" s="133" t="s">
        <v>599</v>
      </c>
    </row>
    <row r="203" spans="1:84">
      <c r="A203" s="10"/>
      <c r="B203" s="11"/>
      <c r="C203" s="12"/>
      <c r="D203" s="720">
        <f>MAX(_xll.xlDateSettle("TARGET",$D$4,2),L203)</f>
        <v>43179</v>
      </c>
      <c r="E203" s="718" t="s">
        <v>966</v>
      </c>
      <c r="F203" s="13" t="s">
        <v>1518</v>
      </c>
      <c r="G203" s="35">
        <v>43886</v>
      </c>
      <c r="H203" s="37">
        <v>0</v>
      </c>
      <c r="I203" s="11">
        <v>43886</v>
      </c>
      <c r="J203" s="11">
        <v>42425</v>
      </c>
      <c r="K203" s="11">
        <v>42791</v>
      </c>
      <c r="L203" s="11">
        <v>42758</v>
      </c>
      <c r="M203" s="12">
        <v>101.33</v>
      </c>
      <c r="N203" s="12" t="s">
        <v>1539</v>
      </c>
      <c r="O203" s="12" t="s">
        <v>1197</v>
      </c>
      <c r="P203" s="12" t="s">
        <v>1540</v>
      </c>
      <c r="Q203" s="15">
        <v>28009000000</v>
      </c>
      <c r="R203" s="12"/>
      <c r="S203" s="43">
        <f>_xll.RtGet("IDN",$X203,$S$9)</f>
        <v>100.923</v>
      </c>
      <c r="T203" s="43">
        <f>_xll.RtGet("IDN",$X203,$T$9)</f>
        <v>100.983</v>
      </c>
      <c r="U203" s="25">
        <f t="shared" si="25"/>
        <v>100.953</v>
      </c>
      <c r="V203" s="12"/>
      <c r="W203" s="25">
        <f t="shared" si="26"/>
        <v>100.953</v>
      </c>
      <c r="X203" s="14" t="str">
        <f t="shared" si="20"/>
        <v>FR0013232485=</v>
      </c>
      <c r="Y203" s="14"/>
      <c r="Z203" s="14"/>
      <c r="AA203" s="14"/>
      <c r="AB203" s="14"/>
      <c r="AC203" s="14"/>
      <c r="AD203" s="34" t="str">
        <f>IF(ISNUMBER($D203),_xll.xlBondYield($F203,$H203,$G203,$J203,$K203,$L203,$M203,$D203,$W203,IF(NOT($H203),TRUE,FALSE)),"")</f>
        <v>Bond not alive on calculation date</v>
      </c>
      <c r="AE203" s="12"/>
      <c r="AF203" s="12"/>
      <c r="AG203" s="12"/>
      <c r="AH203" s="14"/>
      <c r="AI203" s="14"/>
      <c r="AJ203" s="14"/>
      <c r="AK203" s="246" t="str">
        <f>IF(ISNUMBER($D203),_xll.xlBondAswSpread($F203&amp;T(TYPE($AV$1)),$H203,$G203,$J203,$K203,$L203,$M203,$D203,$W203,IF(NOT($H203),TRUE,FALSE),curveName,curveName,,,2),"")</f>
        <v>Bond not alive on calculation date</v>
      </c>
      <c r="AL203" s="213" t="e">
        <f>IF($W203&gt;0,_xll.xlBondZSpread(F203&amp;T(TYPE($AV$1)),H203,G203,J203,K203,L203,M203,D203,U203,"annual",5,IF(NOT($H203),TRUE,FALSE),curveName)*100,"")</f>
        <v>#VALUE!</v>
      </c>
      <c r="AM203" s="266">
        <f>(-IF($AL$9="",VLOOKUP(VLOOKUP(E203,'DB Basis'!$D$2:$H$65205,4,0),Bonds!$AR$1:$AS$6,2,0),$AL$9)*VLOOKUP(E203,'DB Basis'!$D$2:$E$65205,2,0))+IF(V203="",W203,V203)</f>
        <v>2.3845175000000154</v>
      </c>
      <c r="AN203" s="274" t="str">
        <f>IF($AN$9+(($AL$9-$AM$9))*('DB Basis'!F363/10-'DB Basis'!E363),," ")</f>
        <v xml:space="preserve"> </v>
      </c>
      <c r="AO203" s="639">
        <f>IF(U203&gt;0,_xll.xlShmImplSwap2(curveName&amp;T(TYPE($AV$1)),curveName,D203,G203,,1,8,2,4),"")</f>
        <v>-1.7962764354599492E-3</v>
      </c>
      <c r="AP203" s="640" t="str">
        <f t="shared" si="21"/>
        <v>-</v>
      </c>
      <c r="AQ203" s="386" t="str">
        <f t="shared" si="22"/>
        <v>-</v>
      </c>
      <c r="AR203" s="386" t="str">
        <f t="shared" si="23"/>
        <v>-</v>
      </c>
      <c r="AS203" s="388"/>
      <c r="AT203" s="242" t="str">
        <f t="shared" si="24"/>
        <v>-</v>
      </c>
      <c r="AU203" s="686" t="str">
        <f t="shared" ref="AU203:AU271" si="27">F203&amp;"  "&amp;TEXT(G203,"dd-mmm-yy")&amp;"  "&amp;H203</f>
        <v>OAT  25-Feb-20  0</v>
      </c>
      <c r="AV203" s="702"/>
      <c r="AW203" s="684"/>
      <c r="AX203" s="684"/>
      <c r="AY203" s="684"/>
      <c r="AZ203" s="684"/>
      <c r="BA203" s="684"/>
      <c r="BB203" s="683"/>
      <c r="BC203" s="696"/>
      <c r="BE203" s="706">
        <f>_xll.xlDateShiftMonth(BE202,1)</f>
        <v>49031</v>
      </c>
      <c r="BF203" s="707">
        <v>2.4884416603211775E-2</v>
      </c>
      <c r="BU203" s="133" t="s">
        <v>599</v>
      </c>
      <c r="BV203" s="133" t="s">
        <v>599</v>
      </c>
      <c r="BW203" s="133" t="s">
        <v>599</v>
      </c>
      <c r="BX203" s="133" t="s">
        <v>599</v>
      </c>
      <c r="BY203" s="133" t="s">
        <v>599</v>
      </c>
      <c r="BZ203" s="133" t="s">
        <v>599</v>
      </c>
      <c r="CA203" s="133" t="s">
        <v>599</v>
      </c>
      <c r="CB203" s="133" t="s">
        <v>599</v>
      </c>
      <c r="CC203" s="133" t="s">
        <v>599</v>
      </c>
      <c r="CD203" s="133" t="s">
        <v>599</v>
      </c>
      <c r="CE203" s="133" t="s">
        <v>599</v>
      </c>
      <c r="CF203" s="133" t="s">
        <v>599</v>
      </c>
    </row>
    <row r="204" spans="1:84">
      <c r="A204" s="10"/>
      <c r="B204" s="11"/>
      <c r="C204" s="12"/>
      <c r="D204" s="720">
        <f>MAX(_xll.xlDateSettle("TARGET",$D$4,2),L204)</f>
        <v>43179</v>
      </c>
      <c r="E204" s="718" t="s">
        <v>677</v>
      </c>
      <c r="F204" s="13" t="s">
        <v>1518</v>
      </c>
      <c r="G204" s="35">
        <v>43946</v>
      </c>
      <c r="H204" s="37">
        <v>3.5</v>
      </c>
      <c r="I204" s="11">
        <v>43946</v>
      </c>
      <c r="J204" s="11">
        <v>39928</v>
      </c>
      <c r="K204" s="11">
        <v>40293</v>
      </c>
      <c r="L204" s="11">
        <v>40218</v>
      </c>
      <c r="M204" s="12">
        <v>99.3</v>
      </c>
      <c r="N204" s="12" t="s">
        <v>1541</v>
      </c>
      <c r="O204" s="12" t="s">
        <v>1178</v>
      </c>
      <c r="P204" s="12" t="s">
        <v>1542</v>
      </c>
      <c r="Q204" s="15">
        <v>38946000000</v>
      </c>
      <c r="R204" s="12"/>
      <c r="S204" s="43">
        <f>_xll.RtGet("IDN",$X204,$S$9)</f>
        <v>108.38200000000001</v>
      </c>
      <c r="T204" s="43">
        <f>_xll.RtGet("IDN",$X204,$T$9)</f>
        <v>108.462</v>
      </c>
      <c r="U204" s="25">
        <f t="shared" si="25"/>
        <v>108.422</v>
      </c>
      <c r="V204" s="12"/>
      <c r="W204" s="25">
        <f t="shared" si="26"/>
        <v>108.422</v>
      </c>
      <c r="X204" s="14" t="str">
        <f t="shared" ref="X204:X267" si="28">LEFT($E204,2)&amp;IF(LEFT($E204,2)="FR",MID($E204,3,10),IF(LEFT($E204,2)="ES",MID($E204,4,8),IF(LEFT($E204,2)="PT",MID($E204,3,6)&amp;RIGHT($E204,3),IF(MID($E204,6,1)="0",MID($E204,7,5),MID($E204,6,6)))))&amp;"="&amp;IF(LEFT($E204,2)="IT","TT","")</f>
        <v>FR0010854182=</v>
      </c>
      <c r="Y204" s="14"/>
      <c r="Z204" s="14"/>
      <c r="AA204" s="14"/>
      <c r="AB204" s="14"/>
      <c r="AC204" s="14"/>
      <c r="AD204" s="34">
        <f>IF(ISNUMBER($D204),_xll.xlBondYield($F204,$H204,$G204,$J204,$K204,$L204,$M204,$D204,$W204,IF(NOT($H204),TRUE,FALSE)),"")</f>
        <v>-4.8284101159289938E-3</v>
      </c>
      <c r="AE204" s="12"/>
      <c r="AF204" s="12"/>
      <c r="AG204" s="12"/>
      <c r="AH204" s="14"/>
      <c r="AI204" s="14"/>
      <c r="AJ204" s="14"/>
      <c r="AK204" s="246">
        <f>IF(ISNUMBER($D204),_xll.xlBondAswSpread($F204&amp;T(TYPE($AV$1)),$H204,$G204,$J204,$K204,$L204,$M204,$D204,$W204,IF(NOT($H204),TRUE,FALSE),curveName,curveName,,,2),"")</f>
        <v>-0.34052282759195768</v>
      </c>
      <c r="AL204" s="213">
        <f>IF($W204&gt;0,_xll.xlBondZSpread(F204&amp;T(TYPE($AV$1)),H204,G204,J204,K204,L204,M204,D204,U204,"annual",5,IF(NOT($H204),TRUE,FALSE),curveName)*100,"")</f>
        <v>-32.498520390085481</v>
      </c>
      <c r="AM204" s="266">
        <f>(-IF($AL$9="",VLOOKUP(VLOOKUP(E204,'DB Basis'!$D$2:$H$65205,4,0),Bonds!$AR$1:$AS$6,2,0),$AL$9)*VLOOKUP(E204,'DB Basis'!$D$2:$E$65205,2,0))+IF(V204="",W204,V204)</f>
        <v>-4.1317949999999968</v>
      </c>
      <c r="AN204" s="274" t="str">
        <f>IF($AN$9+(($AL$9-$AM$9))*('DB Basis'!F364/10-'DB Basis'!E364),," ")</f>
        <v xml:space="preserve"> </v>
      </c>
      <c r="AO204" s="639">
        <f>IF(U204&gt;0,_xll.xlShmImplSwap2(curveName&amp;T(TYPE($AV$1)),curveName,D204,G204,,1,8,2,4),"")</f>
        <v>-1.5439066571464844E-3</v>
      </c>
      <c r="AP204" s="640">
        <f t="shared" ref="AP204:AP267" si="29">IF(AND(ISNUMBER(AD204),ISNUMBER(AO204)),AD204-AO204,"-")</f>
        <v>-3.2845034587825096E-3</v>
      </c>
      <c r="AQ204" s="386" t="str">
        <f t="shared" ref="AQ204:AQ267" si="30">IF(ISNUMBER(((AD204-AD203)/(G204-G203)*365)*10000),((AD204-AD203)/(G204-G203)*365)*10000,"-")</f>
        <v>-</v>
      </c>
      <c r="AR204" s="386" t="str">
        <f t="shared" ref="AR204:AR267" si="31">IF(ISNUMBER(((AP204-AP203)/(G204-G203)*365)*10000),((AP204-AP203)/(G204-G203)*365)*10000,"-")</f>
        <v>-</v>
      </c>
      <c r="AS204" s="388"/>
      <c r="AT204" s="242">
        <f t="shared" ref="AT204:AT267" si="32">IF(ISNUMBER(AD204),AD204*360/365*100,"-")</f>
        <v>-0.47622675116011992</v>
      </c>
      <c r="AU204" s="686" t="str">
        <f t="shared" si="27"/>
        <v>OAT  25-Apr-20  3.5</v>
      </c>
      <c r="AV204" s="702"/>
      <c r="AW204" s="684"/>
      <c r="AX204" s="684"/>
      <c r="AY204" s="684"/>
      <c r="AZ204" s="684"/>
      <c r="BA204" s="684"/>
      <c r="BB204" s="683"/>
      <c r="BC204" s="696"/>
      <c r="BE204" s="706">
        <f>_xll.xlDateShiftMonth(BE203,1)</f>
        <v>49062</v>
      </c>
      <c r="BF204" s="707">
        <v>2.4930789490526475E-2</v>
      </c>
      <c r="BU204" s="133" t="s">
        <v>599</v>
      </c>
      <c r="BV204" s="133" t="s">
        <v>599</v>
      </c>
      <c r="BW204" s="133" t="s">
        <v>599</v>
      </c>
      <c r="BX204" s="133" t="s">
        <v>599</v>
      </c>
      <c r="BY204" s="133" t="s">
        <v>599</v>
      </c>
      <c r="BZ204" s="133" t="s">
        <v>599</v>
      </c>
      <c r="CA204" s="133" t="s">
        <v>599</v>
      </c>
      <c r="CB204" s="133" t="s">
        <v>599</v>
      </c>
      <c r="CC204" s="133" t="s">
        <v>599</v>
      </c>
      <c r="CD204" s="133" t="s">
        <v>599</v>
      </c>
      <c r="CE204" s="133" t="s">
        <v>599</v>
      </c>
      <c r="CF204" s="133" t="s">
        <v>599</v>
      </c>
    </row>
    <row r="205" spans="1:84">
      <c r="A205" s="10"/>
      <c r="B205" s="11"/>
      <c r="C205" s="12"/>
      <c r="D205" s="720">
        <f>MAX(_xll.xlDateSettle("TARGET",$D$4,2),L205)</f>
        <v>43179</v>
      </c>
      <c r="E205" s="718" t="s">
        <v>581</v>
      </c>
      <c r="F205" s="13" t="s">
        <v>1518</v>
      </c>
      <c r="G205" s="35">
        <v>43976</v>
      </c>
      <c r="H205" s="37">
        <v>0</v>
      </c>
      <c r="I205" s="11">
        <v>43976</v>
      </c>
      <c r="J205" s="11">
        <v>41784</v>
      </c>
      <c r="K205" s="11">
        <v>42149</v>
      </c>
      <c r="L205" s="11">
        <v>42058</v>
      </c>
      <c r="M205" s="12">
        <v>99.46</v>
      </c>
      <c r="N205" s="12" t="s">
        <v>1543</v>
      </c>
      <c r="O205" s="12" t="s">
        <v>1178</v>
      </c>
      <c r="P205" s="12" t="s">
        <v>1544</v>
      </c>
      <c r="Q205" s="15">
        <v>22969000000</v>
      </c>
      <c r="R205" s="12"/>
      <c r="S205" s="43">
        <f>_xll.RtGet("IDN",$X205,$S$9)</f>
        <v>100.965</v>
      </c>
      <c r="T205" s="43">
        <f>_xll.RtGet("IDN",$X205,$T$9)</f>
        <v>101.065</v>
      </c>
      <c r="U205" s="25">
        <f t="shared" ref="U205:U268" si="33">IF($U$4="B",AVERAGE(S205:T205),AVERAGE(S205:T205))</f>
        <v>101.015</v>
      </c>
      <c r="V205" s="12"/>
      <c r="W205" s="25">
        <f t="shared" si="26"/>
        <v>101.015</v>
      </c>
      <c r="X205" s="14" t="str">
        <f t="shared" si="28"/>
        <v>FR0012557957=</v>
      </c>
      <c r="Y205" s="14"/>
      <c r="Z205" s="14"/>
      <c r="AA205" s="14"/>
      <c r="AB205" s="14"/>
      <c r="AC205" s="14"/>
      <c r="AD205" s="34" t="str">
        <f>IF(ISNUMBER($D205),_xll.xlBondYield($F205,$H205,$G205,$J205,$K205,$L205,$M205,$D205,$W205,IF(NOT($H205),TRUE,FALSE)),"")</f>
        <v>Bond not alive on calculation date</v>
      </c>
      <c r="AE205" s="12"/>
      <c r="AF205" s="12"/>
      <c r="AG205" s="12"/>
      <c r="AH205" s="14"/>
      <c r="AI205" s="14"/>
      <c r="AJ205" s="14"/>
      <c r="AK205" s="246" t="str">
        <f>IF(ISNUMBER($D205),_xll.xlBondAswSpread($F205&amp;T(TYPE($AV$1)),$H205,$G205,$J205,$K205,$L205,$M205,$D205,$W205,IF(NOT($H205),TRUE,FALSE),curveName,curveName,,,2),"")</f>
        <v>Bond not alive on calculation date</v>
      </c>
      <c r="AL205" s="213" t="e">
        <f>IF($W205&gt;0,_xll.xlBondZSpread(F205&amp;T(TYPE($AV$1)),H205,G205,J205,K205,L205,M205,D205,U205,"annual",5,IF(NOT($H205),TRUE,FALSE),curveName)*100,"")</f>
        <v>#VALUE!</v>
      </c>
      <c r="AM205" s="266">
        <f>(-IF($AL$9="",VLOOKUP(VLOOKUP(E205,'DB Basis'!$D$2:$H$65205,4,0),Bonds!$AR$1:$AS$6,2,0),$AL$9)*VLOOKUP(E205,'DB Basis'!$D$2:$E$65205,2,0))+IF(V205="",W205,V205)</f>
        <v>-9.5249099999999913</v>
      </c>
      <c r="AN205" s="274" t="str">
        <f>IF($AN$9+(($AL$9-$AM$9))*('DB Basis'!F365/10-'DB Basis'!E365),," ")</f>
        <v xml:space="preserve"> </v>
      </c>
      <c r="AO205" s="639">
        <f>IF(U205&gt;0,_xll.xlShmImplSwap2(curveName&amp;T(TYPE($AV$1)),curveName,D205,G205,,1,8,2,4),"")</f>
        <v>-1.4240036748803669E-3</v>
      </c>
      <c r="AP205" s="640" t="str">
        <f t="shared" si="29"/>
        <v>-</v>
      </c>
      <c r="AQ205" s="386" t="str">
        <f t="shared" si="30"/>
        <v>-</v>
      </c>
      <c r="AR205" s="386" t="str">
        <f t="shared" si="31"/>
        <v>-</v>
      </c>
      <c r="AS205" s="388"/>
      <c r="AT205" s="242" t="str">
        <f t="shared" si="32"/>
        <v>-</v>
      </c>
      <c r="AU205" s="686" t="str">
        <f t="shared" si="27"/>
        <v>OAT  25-May-20  0</v>
      </c>
      <c r="AV205" s="702"/>
      <c r="AW205" s="684"/>
      <c r="AX205" s="684"/>
      <c r="AY205" s="684"/>
      <c r="AZ205" s="684"/>
      <c r="BA205" s="684"/>
      <c r="BB205" s="683"/>
      <c r="BC205" s="696"/>
      <c r="BE205" s="706">
        <f>_xll.xlDateShiftMonth(BE204,1)</f>
        <v>49092</v>
      </c>
      <c r="BF205" s="707">
        <v>2.4975013735920346E-2</v>
      </c>
      <c r="BU205" s="133" t="s">
        <v>599</v>
      </c>
      <c r="BV205" s="133" t="s">
        <v>599</v>
      </c>
      <c r="BW205" s="133" t="s">
        <v>599</v>
      </c>
      <c r="BX205" s="133" t="s">
        <v>599</v>
      </c>
      <c r="BY205" s="133" t="s">
        <v>599</v>
      </c>
      <c r="BZ205" s="133" t="s">
        <v>599</v>
      </c>
      <c r="CA205" s="133" t="s">
        <v>599</v>
      </c>
      <c r="CB205" s="133" t="s">
        <v>599</v>
      </c>
      <c r="CC205" s="133" t="s">
        <v>599</v>
      </c>
      <c r="CD205" s="133" t="s">
        <v>599</v>
      </c>
      <c r="CE205" s="133" t="s">
        <v>599</v>
      </c>
      <c r="CF205" s="133" t="s">
        <v>599</v>
      </c>
    </row>
    <row r="206" spans="1:84">
      <c r="A206" s="10"/>
      <c r="B206" s="11"/>
      <c r="C206" s="12"/>
      <c r="D206" s="720">
        <f>MAX(_xll.xlDateSettle("TARGET",$D$4,2),L206)</f>
        <v>43179</v>
      </c>
      <c r="E206" s="718" t="s">
        <v>678</v>
      </c>
      <c r="F206" s="13" t="s">
        <v>1518</v>
      </c>
      <c r="G206" s="35">
        <v>44129</v>
      </c>
      <c r="H206" s="37">
        <v>2.5</v>
      </c>
      <c r="I206" s="11">
        <v>44129</v>
      </c>
      <c r="J206" s="11">
        <v>40111</v>
      </c>
      <c r="K206" s="11">
        <v>40476</v>
      </c>
      <c r="L206" s="11">
        <v>40463</v>
      </c>
      <c r="M206" s="12">
        <v>98.42</v>
      </c>
      <c r="N206" s="12" t="s">
        <v>1545</v>
      </c>
      <c r="O206" s="12" t="s">
        <v>1178</v>
      </c>
      <c r="P206" s="12" t="s">
        <v>1546</v>
      </c>
      <c r="Q206" s="15">
        <v>36562000000</v>
      </c>
      <c r="R206" s="12"/>
      <c r="S206" s="43">
        <f>_xll.RtGet("IDN",$X206,$S$9)</f>
        <v>107.55800000000001</v>
      </c>
      <c r="T206" s="43">
        <f>_xll.RtGet("IDN",$X206,$T$9)</f>
        <v>107.61800000000001</v>
      </c>
      <c r="U206" s="25">
        <f t="shared" si="33"/>
        <v>107.58800000000001</v>
      </c>
      <c r="V206" s="12"/>
      <c r="W206" s="25">
        <f t="shared" si="26"/>
        <v>107.58800000000001</v>
      </c>
      <c r="X206" s="14" t="str">
        <f t="shared" si="28"/>
        <v>FR0010949651=</v>
      </c>
      <c r="Y206" s="14"/>
      <c r="Z206" s="14"/>
      <c r="AA206" s="14"/>
      <c r="AB206" s="14"/>
      <c r="AC206" s="14"/>
      <c r="AD206" s="34">
        <f>IF(ISNUMBER($D206),_xll.xlBondYield($F206,$H206,$G206,$J206,$K206,$L206,$M206,$D206,$W206,IF(NOT($H206),TRUE,FALSE)),"")</f>
        <v>-3.9716378954084211E-3</v>
      </c>
      <c r="AE206" s="12"/>
      <c r="AF206" s="12"/>
      <c r="AG206" s="12"/>
      <c r="AH206" s="14"/>
      <c r="AI206" s="14"/>
      <c r="AJ206" s="14"/>
      <c r="AK206" s="246">
        <f>IF(ISNUMBER($D206),_xll.xlBondAswSpread($F206&amp;T(TYPE($AV$1)),$H206,$G206,$J206,$K206,$L206,$M206,$D206,$W206,IF(NOT($H206),TRUE,FALSE),curveName,curveName,,,2),"")</f>
        <v>-0.35468061135666901</v>
      </c>
      <c r="AL206" s="213">
        <f>IF($W206&gt;0,_xll.xlBondZSpread(F206&amp;T(TYPE($AV$1)),H206,G206,J206,K206,L206,M206,D206,U206,"annual",5,IF(NOT($H206),TRUE,FALSE),curveName)*100,"")</f>
        <v>-34.185406006151261</v>
      </c>
      <c r="AM206" s="266">
        <f>(-IF($AL$9="",VLOOKUP(VLOOKUP(E206,'DB Basis'!$D$2:$H$65205,4,0),Bonds!$AR$1:$AS$6,2,0),$AL$9)*VLOOKUP(E206,'DB Basis'!$D$2:$E$65205,2,0))+IF(V206="",W206,V206)</f>
        <v>-29.579944999999995</v>
      </c>
      <c r="AN206" s="274" t="str">
        <f>IF($AN$9+(($AL$9-$AM$9))*('DB Basis'!F366/10-'DB Basis'!E366),," ")</f>
        <v xml:space="preserve"> </v>
      </c>
      <c r="AO206" s="639">
        <f>IF(U206&gt;0,_xll.xlShmImplSwap2(curveName&amp;T(TYPE($AV$1)),curveName,D206,G206,,1,8,2,4),"")</f>
        <v>-5.0797484976167228E-4</v>
      </c>
      <c r="AP206" s="640">
        <f t="shared" si="29"/>
        <v>-3.463663045646749E-3</v>
      </c>
      <c r="AQ206" s="386" t="str">
        <f t="shared" si="30"/>
        <v>-</v>
      </c>
      <c r="AR206" s="386" t="str">
        <f t="shared" si="31"/>
        <v>-</v>
      </c>
      <c r="AS206" s="388"/>
      <c r="AT206" s="242">
        <f t="shared" si="32"/>
        <v>-0.39172318968411823</v>
      </c>
      <c r="AU206" s="686" t="str">
        <f t="shared" si="27"/>
        <v>OAT  25-Oct-20  2.5</v>
      </c>
      <c r="AV206" s="702"/>
      <c r="AW206" s="684"/>
      <c r="AX206" s="684"/>
      <c r="AY206" s="684"/>
      <c r="AZ206" s="684"/>
      <c r="BA206" s="684"/>
      <c r="BB206" s="683"/>
      <c r="BC206" s="696"/>
      <c r="BE206" s="706">
        <f>_xll.xlDateShiftMonth(BE205,1)</f>
        <v>49123</v>
      </c>
      <c r="BF206" s="707">
        <v>2.5020058095543213E-2</v>
      </c>
      <c r="BU206" s="133" t="s">
        <v>599</v>
      </c>
      <c r="BV206" s="133" t="s">
        <v>599</v>
      </c>
      <c r="BW206" s="133" t="s">
        <v>599</v>
      </c>
      <c r="BX206" s="133" t="s">
        <v>599</v>
      </c>
      <c r="BY206" s="133" t="s">
        <v>599</v>
      </c>
      <c r="BZ206" s="133" t="s">
        <v>599</v>
      </c>
      <c r="CA206" s="133" t="s">
        <v>599</v>
      </c>
      <c r="CB206" s="133" t="s">
        <v>599</v>
      </c>
      <c r="CC206" s="133" t="s">
        <v>599</v>
      </c>
      <c r="CD206" s="133" t="s">
        <v>599</v>
      </c>
      <c r="CE206" s="133" t="s">
        <v>599</v>
      </c>
      <c r="CF206" s="133" t="s">
        <v>599</v>
      </c>
    </row>
    <row r="207" spans="1:84">
      <c r="A207" s="10"/>
      <c r="B207" s="11"/>
      <c r="C207" s="12"/>
      <c r="D207" s="720">
        <f>MAX(_xll.xlDateSettle("TARGET",$D$4,2),L207)</f>
        <v>43179</v>
      </c>
      <c r="E207" s="718" t="s">
        <v>764</v>
      </c>
      <c r="F207" s="13" t="s">
        <v>1518</v>
      </c>
      <c r="G207" s="35">
        <v>44160</v>
      </c>
      <c r="H207" s="37">
        <v>0.25</v>
      </c>
      <c r="I207" s="11">
        <v>44160</v>
      </c>
      <c r="J207" s="11">
        <v>41968</v>
      </c>
      <c r="K207" s="11">
        <v>42333</v>
      </c>
      <c r="L207" s="11">
        <v>42268</v>
      </c>
      <c r="M207" s="12">
        <v>99.67</v>
      </c>
      <c r="N207" s="12" t="s">
        <v>1547</v>
      </c>
      <c r="O207" s="12" t="s">
        <v>1178</v>
      </c>
      <c r="P207" s="12" t="s">
        <v>1548</v>
      </c>
      <c r="Q207" s="15">
        <v>24782000000</v>
      </c>
      <c r="R207" s="12"/>
      <c r="S207" s="43">
        <f>_xll.RtGet("IDN",$X207,$S$9)</f>
        <v>101.622</v>
      </c>
      <c r="T207" s="43">
        <f>_xll.RtGet("IDN",$X207,$T$9)</f>
        <v>101.652</v>
      </c>
      <c r="U207" s="25">
        <f t="shared" si="33"/>
        <v>101.637</v>
      </c>
      <c r="V207" s="12"/>
      <c r="W207" s="25">
        <f t="shared" si="26"/>
        <v>101.637</v>
      </c>
      <c r="X207" s="14" t="str">
        <f t="shared" si="28"/>
        <v>FR0012968337=</v>
      </c>
      <c r="Y207" s="14"/>
      <c r="Z207" s="14"/>
      <c r="AA207" s="14"/>
      <c r="AB207" s="14"/>
      <c r="AC207" s="14"/>
      <c r="AD207" s="34">
        <f>IF(ISNUMBER($D207),_xll.xlBondYield($F207,$H207,$G207,$J207,$K207,$L207,$M207,$D207,$W207,IF(NOT($H207),TRUE,FALSE)),"")</f>
        <v>-3.557571702850358E-3</v>
      </c>
      <c r="AE207" s="12"/>
      <c r="AF207" s="12"/>
      <c r="AG207" s="12"/>
      <c r="AH207" s="14"/>
      <c r="AI207" s="14"/>
      <c r="AJ207" s="14"/>
      <c r="AK207" s="246">
        <f>IF(ISNUMBER($D207),_xll.xlBondAswSpread($F207&amp;T(TYPE($AV$1)),$H207,$G207,$J207,$K207,$L207,$M207,$D207,$W207,IF(NOT($H207),TRUE,FALSE),curveName,curveName,,,2),"")</f>
        <v>-0.32284232135051849</v>
      </c>
      <c r="AL207" s="213">
        <f>IF($W207&gt;0,_xll.xlBondZSpread(F207&amp;T(TYPE($AV$1)),H207,G207,J207,K207,L207,M207,D207,U207,"annual",5,IF(NOT($H207),TRUE,FALSE),curveName)*100,"")</f>
        <v>-32.290346584229354</v>
      </c>
      <c r="AM207" s="266">
        <f>(-IF($AL$9="",VLOOKUP(VLOOKUP(E207,'DB Basis'!$D$2:$H$65205,4,0),Bonds!$AR$1:$AS$6,2,0),$AL$9)*VLOOKUP(E207,'DB Basis'!$D$2:$E$65205,2,0))+IF(V207="",W207,V207)</f>
        <v>-34.076472499999994</v>
      </c>
      <c r="AN207" s="274" t="str">
        <f>IF($AN$9+(($AL$9-$AM$9))*('DB Basis'!F367/10-'DB Basis'!E367),," ")</f>
        <v xml:space="preserve"> </v>
      </c>
      <c r="AO207" s="639">
        <f>IF(U207&gt;0,_xll.xlShmImplSwap2(curveName&amp;T(TYPE($AV$1)),curveName,D207,G207,,1,8,2,4),"")</f>
        <v>-3.1927093600681212E-4</v>
      </c>
      <c r="AP207" s="640">
        <f t="shared" si="29"/>
        <v>-3.2383007668435461E-3</v>
      </c>
      <c r="AQ207" s="386">
        <f t="shared" si="30"/>
        <v>48.752954930223552</v>
      </c>
      <c r="AR207" s="386">
        <f t="shared" si="31"/>
        <v>26.534590891344866</v>
      </c>
      <c r="AS207" s="388"/>
      <c r="AT207" s="242">
        <f t="shared" si="32"/>
        <v>-0.35088378439072027</v>
      </c>
      <c r="AU207" s="686" t="str">
        <f t="shared" si="27"/>
        <v>OAT  25-Nov-20  0.25</v>
      </c>
      <c r="AV207" s="702"/>
      <c r="AW207" s="684"/>
      <c r="AX207" s="684"/>
      <c r="AY207" s="684"/>
      <c r="AZ207" s="684"/>
      <c r="BA207" s="684"/>
      <c r="BB207" s="683"/>
      <c r="BC207" s="696"/>
      <c r="BE207" s="706">
        <f>_xll.xlDateShiftMonth(BE206,1)</f>
        <v>49153</v>
      </c>
      <c r="BF207" s="707">
        <v>2.5063036079022244E-2</v>
      </c>
      <c r="BU207" s="133" t="s">
        <v>599</v>
      </c>
      <c r="BV207" s="133" t="s">
        <v>599</v>
      </c>
      <c r="BW207" s="133" t="s">
        <v>599</v>
      </c>
      <c r="BX207" s="133" t="s">
        <v>599</v>
      </c>
      <c r="BY207" s="133" t="s">
        <v>599</v>
      </c>
      <c r="BZ207" s="133" t="s">
        <v>599</v>
      </c>
      <c r="CA207" s="133" t="s">
        <v>599</v>
      </c>
      <c r="CB207" s="133" t="s">
        <v>599</v>
      </c>
      <c r="CC207" s="133" t="s">
        <v>599</v>
      </c>
      <c r="CD207" s="133" t="s">
        <v>599</v>
      </c>
      <c r="CE207" s="133" t="s">
        <v>599</v>
      </c>
      <c r="CF207" s="133" t="s">
        <v>599</v>
      </c>
    </row>
    <row r="208" spans="1:84">
      <c r="A208" s="10"/>
      <c r="B208" s="11"/>
      <c r="C208" s="12"/>
      <c r="D208" s="720">
        <f>MAX(_xll.xlDateSettle("TARGET",$D$4,2),L208)</f>
        <v>43179</v>
      </c>
      <c r="E208" s="718" t="s">
        <v>1707</v>
      </c>
      <c r="F208" s="13" t="s">
        <v>1518</v>
      </c>
      <c r="G208" s="35">
        <v>44252</v>
      </c>
      <c r="H208" s="37">
        <v>0</v>
      </c>
      <c r="I208" s="11">
        <v>44252</v>
      </c>
      <c r="J208" s="11">
        <v>42791</v>
      </c>
      <c r="K208" s="11">
        <v>43156</v>
      </c>
      <c r="L208" s="11">
        <v>43122</v>
      </c>
      <c r="M208" s="12">
        <v>100.75</v>
      </c>
      <c r="N208" s="12" t="s">
        <v>1708</v>
      </c>
      <c r="O208" s="12" t="s">
        <v>1178</v>
      </c>
      <c r="P208" s="12" t="s">
        <v>1709</v>
      </c>
      <c r="Q208" s="15">
        <v>8043000000</v>
      </c>
      <c r="R208" s="12"/>
      <c r="S208" s="43">
        <f>_xll.RtGet("IDN",$X208,$S$9)</f>
        <v>100.88</v>
      </c>
      <c r="T208" s="43">
        <f>_xll.RtGet("IDN",$X208,$T$9)</f>
        <v>100.9</v>
      </c>
      <c r="U208" s="25">
        <f t="shared" si="33"/>
        <v>100.89</v>
      </c>
      <c r="V208" s="12"/>
      <c r="W208" s="25">
        <f t="shared" ref="W208:W271" si="34">IF(V208="",U208,V208)</f>
        <v>100.89</v>
      </c>
      <c r="X208" s="14" t="str">
        <f t="shared" si="28"/>
        <v>FR0013311016=</v>
      </c>
      <c r="Y208" s="14"/>
      <c r="Z208" s="14"/>
      <c r="AA208" s="14"/>
      <c r="AB208" s="14"/>
      <c r="AC208" s="14"/>
      <c r="AD208" s="34" t="str">
        <f>IF(ISNUMBER($D208),_xll.xlBondYield($F208,$H208,$G208,$J208,$K208,$L208,$M208,$D208,$W208,IF(NOT($H208),TRUE,FALSE)),"")</f>
        <v>Bond not alive on calculation date</v>
      </c>
      <c r="AE208" s="12"/>
      <c r="AF208" s="12"/>
      <c r="AG208" s="12"/>
      <c r="AH208" s="14"/>
      <c r="AI208" s="14"/>
      <c r="AJ208" s="14"/>
      <c r="AK208" s="758" t="str">
        <f>IF(ISNUMBER($D208),_xll.xlBondAswSpread($F208&amp;T(TYPE($AV$1)),$H208,$G208,$J208,$K208,$L208,$M208,$D208,$W208,IF(NOT($H208),TRUE,FALSE),curveName,curveName,,,2),"")</f>
        <v>Bond not alive on calculation date</v>
      </c>
      <c r="AL208" s="213" t="e">
        <f>IF($W208&gt;0,_xll.xlBondZSpread(F208&amp;T(TYPE($AV$1)),H208,G208,J208,K208,L208,M208,D208,U208,"annual",5,IF(NOT($H208),TRUE,FALSE),curveName)*100,"")</f>
        <v>#VALUE!</v>
      </c>
      <c r="AM208" s="266">
        <f>(-IF($AL$9="",VLOOKUP(VLOOKUP(E208,'DB Basis'!$D$2:$H$65205,4,0),Bonds!$AR$1:$AS$6,2,0),$AL$9)*VLOOKUP(E208,'DB Basis'!$D$2:$E$65205,2,0))+IF(V208="",W208,V208)</f>
        <v>-46.235487499999991</v>
      </c>
      <c r="AN208" s="274" t="str">
        <f>IF($AN$9+(($AL$9-$AM$9))*('DB Basis'!F368/10-'DB Basis'!E368),," ")</f>
        <v xml:space="preserve"> </v>
      </c>
      <c r="AO208" s="639">
        <f>IF(U208&gt;0,_xll.xlShmImplSwap2(curveName&amp;T(TYPE($AV$1)),curveName,D208,G208,,1,8,2,4),"")</f>
        <v>2.5606576851930525E-4</v>
      </c>
      <c r="AP208" s="640" t="str">
        <f t="shared" si="29"/>
        <v>-</v>
      </c>
      <c r="AQ208" s="386" t="str">
        <f t="shared" si="30"/>
        <v>-</v>
      </c>
      <c r="AR208" s="386" t="str">
        <f t="shared" si="31"/>
        <v>-</v>
      </c>
      <c r="AS208" s="388"/>
      <c r="AT208" s="242" t="str">
        <f t="shared" si="32"/>
        <v>-</v>
      </c>
      <c r="AU208" s="686" t="str">
        <f t="shared" si="27"/>
        <v>OAT  25-Feb-21  0</v>
      </c>
      <c r="AV208" s="702"/>
      <c r="AW208" s="684"/>
      <c r="AX208" s="684"/>
      <c r="AY208" s="684"/>
      <c r="AZ208" s="684"/>
      <c r="BA208" s="684"/>
      <c r="BB208" s="683"/>
      <c r="BC208" s="696"/>
      <c r="BE208" s="706">
        <f>_xll.xlDateShiftMonth(BE207,1)</f>
        <v>49184</v>
      </c>
      <c r="BF208" s="707">
        <v>2.5106833358379609E-2</v>
      </c>
      <c r="BU208" s="133" t="s">
        <v>599</v>
      </c>
      <c r="BV208" s="133" t="s">
        <v>599</v>
      </c>
      <c r="BW208" s="133" t="s">
        <v>599</v>
      </c>
      <c r="BX208" s="133" t="s">
        <v>599</v>
      </c>
      <c r="BY208" s="133" t="s">
        <v>599</v>
      </c>
      <c r="BZ208" s="133" t="s">
        <v>599</v>
      </c>
      <c r="CA208" s="133" t="s">
        <v>599</v>
      </c>
      <c r="CB208" s="133" t="s">
        <v>599</v>
      </c>
      <c r="CC208" s="133" t="s">
        <v>599</v>
      </c>
      <c r="CD208" s="133" t="s">
        <v>599</v>
      </c>
      <c r="CE208" s="133" t="s">
        <v>599</v>
      </c>
      <c r="CF208" s="133" t="s">
        <v>599</v>
      </c>
    </row>
    <row r="209" spans="1:84">
      <c r="A209" s="10"/>
      <c r="B209" s="11"/>
      <c r="C209" s="12"/>
      <c r="D209" s="720">
        <f>MAX(_xll.xlDateSettle("TARGET",$D$4,2),L209)</f>
        <v>43179</v>
      </c>
      <c r="E209" s="718" t="s">
        <v>679</v>
      </c>
      <c r="F209" s="13" t="s">
        <v>1518</v>
      </c>
      <c r="G209" s="35">
        <v>44311</v>
      </c>
      <c r="H209" s="37">
        <v>3.75</v>
      </c>
      <c r="I209" s="11">
        <v>44311</v>
      </c>
      <c r="J209" s="11">
        <v>38467</v>
      </c>
      <c r="K209" s="11">
        <v>38832</v>
      </c>
      <c r="L209" s="11">
        <v>38482</v>
      </c>
      <c r="M209" s="12">
        <v>99.16</v>
      </c>
      <c r="N209" s="12" t="s">
        <v>1549</v>
      </c>
      <c r="O209" s="12" t="s">
        <v>1178</v>
      </c>
      <c r="P209" s="12" t="s">
        <v>1550</v>
      </c>
      <c r="Q209" s="15">
        <v>39352000000</v>
      </c>
      <c r="R209" s="12"/>
      <c r="S209" s="43">
        <f>_xll.RtGet("IDN",$X209,$S$9)</f>
        <v>112.607</v>
      </c>
      <c r="T209" s="43">
        <f>_xll.RtGet("IDN",$X209,$T$9)</f>
        <v>112.637</v>
      </c>
      <c r="U209" s="25">
        <f t="shared" si="33"/>
        <v>112.622</v>
      </c>
      <c r="V209" s="12"/>
      <c r="W209" s="25">
        <f t="shared" si="34"/>
        <v>112.622</v>
      </c>
      <c r="X209" s="14" t="str">
        <f t="shared" si="28"/>
        <v>FR0010192997=</v>
      </c>
      <c r="Y209" s="14"/>
      <c r="Z209" s="14"/>
      <c r="AA209" s="14"/>
      <c r="AB209" s="14"/>
      <c r="AC209" s="14"/>
      <c r="AD209" s="34">
        <f>IF(ISNUMBER($D209),_xll.xlBondYield($F209,$H209,$G209,$J209,$K209,$L209,$M209,$D209,$W209,IF(NOT($H209),TRUE,FALSE)),"")</f>
        <v>-2.9833147708230798E-3</v>
      </c>
      <c r="AE209" s="12"/>
      <c r="AF209" s="12"/>
      <c r="AG209" s="12"/>
      <c r="AH209" s="14"/>
      <c r="AI209" s="14"/>
      <c r="AJ209" s="14"/>
      <c r="AK209" s="246">
        <f>IF(ISNUMBER($D209),_xll.xlBondAswSpread($F209&amp;T(TYPE($AV$1)),$H209,$G209,$J209,$K209,$L209,$M209,$D209,$W209,IF(NOT($H209),TRUE,FALSE),curveName,curveName,,,2),"")</f>
        <v>-0.37175761041685773</v>
      </c>
      <c r="AL209" s="213">
        <f>IF($W209&gt;0,_xll.xlBondZSpread(F209&amp;T(TYPE($AV$1)),H209,G209,J209,K209,L209,M209,D209,U209,"annual",5,IF(NOT($H209),TRUE,FALSE),curveName)*100,"")</f>
        <v>-34.875810565310537</v>
      </c>
      <c r="AM209" s="266">
        <f>(-IF($AL$9="",VLOOKUP(VLOOKUP(E209,'DB Basis'!$D$2:$H$65205,4,0),Bonds!$AR$1:$AS$6,2,0),$AL$9)*VLOOKUP(E209,'DB Basis'!$D$2:$E$65205,2,0))+IF(V209="",W209,V209)</f>
        <v>-54.754219999999989</v>
      </c>
      <c r="AN209" s="274" t="str">
        <f>IF($AN$9+(($AL$9-$AM$9))*('DB Basis'!F369/10-'DB Basis'!E369),," ")</f>
        <v xml:space="preserve"> </v>
      </c>
      <c r="AO209" s="639">
        <f>IF(U209&gt;0,_xll.xlShmImplSwap2(curveName&amp;T(TYPE($AV$1)),curveName,D209,G209,,1,8,2,4),"")</f>
        <v>6.028442800793839E-4</v>
      </c>
      <c r="AP209" s="640">
        <f t="shared" si="29"/>
        <v>-3.5861590509024639E-3</v>
      </c>
      <c r="AQ209" s="386" t="str">
        <f t="shared" si="30"/>
        <v>-</v>
      </c>
      <c r="AR209" s="386" t="str">
        <f t="shared" si="31"/>
        <v>-</v>
      </c>
      <c r="AS209" s="388"/>
      <c r="AT209" s="242">
        <f t="shared" si="32"/>
        <v>-0.29424474451953664</v>
      </c>
      <c r="AU209" s="686" t="str">
        <f t="shared" si="27"/>
        <v>OAT  25-Apr-21  3.75</v>
      </c>
      <c r="AV209" s="702"/>
      <c r="AW209" s="684"/>
      <c r="AX209" s="684"/>
      <c r="AY209" s="684"/>
      <c r="AZ209" s="684"/>
      <c r="BA209" s="684"/>
      <c r="BB209" s="683"/>
      <c r="BC209" s="696"/>
      <c r="BE209" s="706">
        <f>_xll.xlDateShiftMonth(BE208,1)</f>
        <v>49215</v>
      </c>
      <c r="BF209" s="707">
        <v>2.5150028088757635E-2</v>
      </c>
      <c r="BU209" s="133" t="s">
        <v>599</v>
      </c>
      <c r="BV209" s="133" t="s">
        <v>599</v>
      </c>
      <c r="BW209" s="133" t="s">
        <v>599</v>
      </c>
      <c r="BX209" s="133" t="s">
        <v>599</v>
      </c>
      <c r="BY209" s="133" t="s">
        <v>599</v>
      </c>
      <c r="BZ209" s="133" t="s">
        <v>599</v>
      </c>
      <c r="CA209" s="133" t="s">
        <v>599</v>
      </c>
      <c r="CB209" s="133" t="s">
        <v>599</v>
      </c>
      <c r="CC209" s="133" t="s">
        <v>599</v>
      </c>
      <c r="CD209" s="133" t="s">
        <v>599</v>
      </c>
      <c r="CE209" s="133" t="s">
        <v>599</v>
      </c>
      <c r="CF209" s="133" t="s">
        <v>599</v>
      </c>
    </row>
    <row r="210" spans="1:84">
      <c r="A210" s="10"/>
      <c r="B210" s="11"/>
      <c r="C210" s="12"/>
      <c r="D210" s="720">
        <f>MAX(_xll.xlDateSettle("TARGET",$D$4,2),L210)</f>
        <v>43179</v>
      </c>
      <c r="E210" s="718" t="s">
        <v>855</v>
      </c>
      <c r="F210" s="13" t="s">
        <v>1518</v>
      </c>
      <c r="G210" s="35">
        <v>44341</v>
      </c>
      <c r="H210" s="37">
        <v>0</v>
      </c>
      <c r="I210" s="11">
        <v>44341</v>
      </c>
      <c r="J210" s="11">
        <v>42149</v>
      </c>
      <c r="K210" s="11">
        <v>42515</v>
      </c>
      <c r="L210" s="11">
        <v>42485</v>
      </c>
      <c r="M210" s="12">
        <v>100.74</v>
      </c>
      <c r="N210" s="12" t="s">
        <v>1551</v>
      </c>
      <c r="O210" s="12" t="s">
        <v>1197</v>
      </c>
      <c r="P210" s="12" t="s">
        <v>1552</v>
      </c>
      <c r="Q210" s="15">
        <v>23653000000</v>
      </c>
      <c r="R210" s="12"/>
      <c r="S210" s="43">
        <f>_xll.RtGet("IDN",$X210,$S$9)</f>
        <v>100.794</v>
      </c>
      <c r="T210" s="43">
        <f>_xll.RtGet("IDN",$X210,$T$9)</f>
        <v>100.854</v>
      </c>
      <c r="U210" s="25">
        <f t="shared" si="33"/>
        <v>100.824</v>
      </c>
      <c r="V210" s="12"/>
      <c r="W210" s="25">
        <f t="shared" si="34"/>
        <v>100.824</v>
      </c>
      <c r="X210" s="14" t="str">
        <f t="shared" si="28"/>
        <v>FR0013157096=</v>
      </c>
      <c r="Y210" s="14"/>
      <c r="Z210" s="14"/>
      <c r="AA210" s="14"/>
      <c r="AB210" s="14"/>
      <c r="AC210" s="14"/>
      <c r="AD210" s="34" t="str">
        <f>IF(ISNUMBER($D210),_xll.xlBondYield($F210,$H210,$G210,$J210,$K210,$L210,$M210,$D210,$W210,IF(NOT($H210),TRUE,FALSE)),"")</f>
        <v>Bond not alive on calculation date</v>
      </c>
      <c r="AE210" s="12"/>
      <c r="AF210" s="12"/>
      <c r="AG210" s="12"/>
      <c r="AH210" s="14"/>
      <c r="AI210" s="14"/>
      <c r="AJ210" s="14"/>
      <c r="AK210" s="758" t="str">
        <f>IF(ISNUMBER($D210),_xll.xlBondAswSpread($F210&amp;T(TYPE($AV$1)),$H210,$G210,$J210,$K210,$L210,$M210,$D210,$W210,IF(NOT($H210),TRUE,FALSE),curveName,curveName,,,2),"")</f>
        <v>Bond not alive on calculation date</v>
      </c>
      <c r="AL210" s="213" t="e">
        <f>IF($W210&gt;0,_xll.xlBondZSpread(F210&amp;T(TYPE($AV$1)),H210,G210,J210,K210,L210,M210,D210,U210,"annual",5,IF(NOT($H210),TRUE,FALSE),curveName)*100,"")</f>
        <v>#VALUE!</v>
      </c>
      <c r="AM210" s="266">
        <f>(-IF($AL$9="",VLOOKUP(VLOOKUP(E210,'DB Basis'!$D$2:$H$65205,4,0),Bonds!$AR$1:$AS$6,2,0),$AL$9)*VLOOKUP(E210,'DB Basis'!$D$2:$E$65205,2,0))+IF(V210="",W210,V210)</f>
        <v>-58.049149999999983</v>
      </c>
      <c r="AN210" s="274" t="str">
        <f>IF($AN$9+(($AL$9-$AM$9))*('DB Basis'!F370/10-'DB Basis'!E370),," ")</f>
        <v xml:space="preserve"> </v>
      </c>
      <c r="AO210" s="639">
        <f>IF(U210&gt;0,_xll.xlShmImplSwap2(curveName&amp;T(TYPE($AV$1)),curveName,D210,G210,,1,8,2,4),"")</f>
        <v>7.5838688469139566E-4</v>
      </c>
      <c r="AP210" s="640" t="str">
        <f t="shared" si="29"/>
        <v>-</v>
      </c>
      <c r="AQ210" s="386" t="str">
        <f t="shared" si="30"/>
        <v>-</v>
      </c>
      <c r="AR210" s="386" t="str">
        <f t="shared" si="31"/>
        <v>-</v>
      </c>
      <c r="AS210" s="388"/>
      <c r="AT210" s="242" t="str">
        <f t="shared" si="32"/>
        <v>-</v>
      </c>
      <c r="AU210" s="686" t="str">
        <f t="shared" si="27"/>
        <v>OAT  25-May-21  0</v>
      </c>
      <c r="AV210" s="702"/>
      <c r="AW210" s="684"/>
      <c r="AX210" s="684"/>
      <c r="AY210" s="684"/>
      <c r="AZ210" s="684"/>
      <c r="BA210" s="684"/>
      <c r="BB210" s="683"/>
      <c r="BC210" s="696"/>
      <c r="BE210" s="706">
        <f>_xll.xlDateShiftMonth(BE209,1)</f>
        <v>49245</v>
      </c>
      <c r="BF210" s="707">
        <v>2.5191275546551997E-2</v>
      </c>
      <c r="BU210" s="133" t="s">
        <v>599</v>
      </c>
      <c r="BV210" s="133" t="s">
        <v>599</v>
      </c>
      <c r="BW210" s="133" t="s">
        <v>599</v>
      </c>
      <c r="BX210" s="133" t="s">
        <v>599</v>
      </c>
      <c r="BY210" s="133" t="s">
        <v>599</v>
      </c>
      <c r="BZ210" s="133" t="s">
        <v>599</v>
      </c>
      <c r="CA210" s="133" t="s">
        <v>599</v>
      </c>
      <c r="CB210" s="133" t="s">
        <v>599</v>
      </c>
      <c r="CC210" s="133" t="s">
        <v>599</v>
      </c>
      <c r="CD210" s="133" t="s">
        <v>599</v>
      </c>
      <c r="CE210" s="133" t="s">
        <v>599</v>
      </c>
      <c r="CF210" s="133" t="s">
        <v>599</v>
      </c>
    </row>
    <row r="211" spans="1:84">
      <c r="A211" s="10"/>
      <c r="B211" s="11"/>
      <c r="C211" s="12"/>
      <c r="D211" s="720">
        <f>MAX(_xll.xlDateSettle("TARGET",$D$4,2),L211)</f>
        <v>43179</v>
      </c>
      <c r="E211" s="718" t="s">
        <v>1637</v>
      </c>
      <c r="F211" s="13" t="s">
        <v>1518</v>
      </c>
      <c r="G211" s="35">
        <v>44402</v>
      </c>
      <c r="H211" s="37">
        <v>0.1</v>
      </c>
      <c r="I211" s="11">
        <v>44402</v>
      </c>
      <c r="J211" s="11">
        <v>41115</v>
      </c>
      <c r="K211" s="11">
        <v>41480</v>
      </c>
      <c r="L211" s="11">
        <v>41205</v>
      </c>
      <c r="M211" s="12">
        <v>101.2</v>
      </c>
      <c r="N211" s="12" t="s">
        <v>1553</v>
      </c>
      <c r="O211" s="12" t="s">
        <v>1178</v>
      </c>
      <c r="P211" s="12" t="s">
        <v>1554</v>
      </c>
      <c r="Q211" s="15">
        <v>7800000000</v>
      </c>
      <c r="R211" s="12"/>
      <c r="S211" s="43">
        <f>_xll.RtGet("IDN",$X211,$S$9)</f>
        <v>104.735</v>
      </c>
      <c r="T211" s="43">
        <f>_xll.RtGet("IDN",$X211,$T$9)</f>
        <v>105.435</v>
      </c>
      <c r="U211" s="25">
        <f t="shared" si="33"/>
        <v>105.08500000000001</v>
      </c>
      <c r="V211" s="12"/>
      <c r="W211" s="25">
        <f t="shared" si="34"/>
        <v>105.08500000000001</v>
      </c>
      <c r="X211" s="14" t="str">
        <f t="shared" si="28"/>
        <v>FR0011347046=</v>
      </c>
      <c r="Y211" s="14"/>
      <c r="Z211" s="14"/>
      <c r="AA211" s="14"/>
      <c r="AB211" s="14"/>
      <c r="AC211" s="14"/>
      <c r="AD211" s="34">
        <f>IF(ISNUMBER($D211),_xll.xlBondYield($F211,$H211,$G211,$J211,$K211,$L211,$M211,$D211,$W211,IF(NOT($H211),TRUE,FALSE)),"")</f>
        <v>-1.3736264908907751E-2</v>
      </c>
      <c r="AE211" s="12"/>
      <c r="AF211" s="12"/>
      <c r="AG211" s="12"/>
      <c r="AH211" s="14"/>
      <c r="AI211" s="14"/>
      <c r="AJ211" s="14"/>
      <c r="AK211" s="758">
        <f>IF(ISNUMBER($D211),_xll.xlBondAswSpread($F211&amp;T(TYPE($AV$1)),$H211,$G211,$J211,$K211,$L211,$M211,$D211,$W211,IF(NOT($H211),TRUE,FALSE),curveName,curveName,,,2),"")</f>
        <v>-1.5024258964886334</v>
      </c>
      <c r="AL211" s="213">
        <f>IF($W211&gt;0,_xll.xlBondZSpread(F211&amp;T(TYPE($AV$1)),H211,G211,J211,K211,L211,M211,D211,U211,"annual",5,IF(NOT($H211),TRUE,FALSE),curveName)*100,"")</f>
        <v>-148.02168061182181</v>
      </c>
      <c r="AM211" s="266" t="e">
        <f>(-IF($AL$9="",VLOOKUP(VLOOKUP(E211,'DB Basis'!$D$2:$H$65205,4,0),Bonds!$AR$1:$AS$6,2,0),$AL$9)*VLOOKUP(E211,'DB Basis'!$D$2:$E$65205,2,0))+IF(V211="",W211,V211)</f>
        <v>#N/A</v>
      </c>
      <c r="AN211" s="274" t="str">
        <f>IF($AN$9+(($AL$9-$AM$9))*('DB Basis'!F371/10-'DB Basis'!E371),," ")</f>
        <v xml:space="preserve"> </v>
      </c>
      <c r="AO211" s="639">
        <f>IF(U211&gt;0,_xll.xlShmImplSwap2(curveName&amp;T(TYPE($AV$1)),curveName,D211,G211,,1,8,2,4),"")</f>
        <v>1.0910741026964605E-3</v>
      </c>
      <c r="AP211" s="640">
        <f t="shared" si="29"/>
        <v>-1.4827339011604211E-2</v>
      </c>
      <c r="AQ211" s="386" t="str">
        <f t="shared" si="30"/>
        <v>-</v>
      </c>
      <c r="AR211" s="386" t="str">
        <f t="shared" si="31"/>
        <v>-</v>
      </c>
      <c r="AS211" s="388"/>
      <c r="AT211" s="242">
        <f t="shared" si="32"/>
        <v>-1.354809689645696</v>
      </c>
      <c r="AU211" s="686" t="str">
        <f t="shared" si="27"/>
        <v>OAT  25-Jul-21  0.1</v>
      </c>
      <c r="AV211" s="702"/>
      <c r="AW211" s="684"/>
      <c r="AX211" s="684"/>
      <c r="AY211" s="684"/>
      <c r="AZ211" s="684"/>
      <c r="BA211" s="684"/>
      <c r="BB211" s="683"/>
      <c r="BC211" s="696"/>
      <c r="BE211" s="706">
        <f>_xll.xlDateShiftMonth(BE210,1)</f>
        <v>49276</v>
      </c>
      <c r="BF211" s="707">
        <v>2.523334603540588E-2</v>
      </c>
      <c r="BU211" s="133" t="s">
        <v>599</v>
      </c>
      <c r="BV211" s="133" t="s">
        <v>599</v>
      </c>
      <c r="BW211" s="133" t="s">
        <v>599</v>
      </c>
      <c r="BX211" s="133" t="s">
        <v>599</v>
      </c>
      <c r="BY211" s="133" t="s">
        <v>599</v>
      </c>
      <c r="BZ211" s="133" t="s">
        <v>599</v>
      </c>
      <c r="CA211" s="133" t="s">
        <v>599</v>
      </c>
      <c r="CB211" s="133" t="s">
        <v>599</v>
      </c>
      <c r="CC211" s="133" t="s">
        <v>599</v>
      </c>
      <c r="CD211" s="133" t="s">
        <v>599</v>
      </c>
      <c r="CE211" s="133" t="s">
        <v>599</v>
      </c>
      <c r="CF211" s="133" t="s">
        <v>599</v>
      </c>
    </row>
    <row r="212" spans="1:84">
      <c r="A212" s="10"/>
      <c r="B212" s="11"/>
      <c r="C212" s="12"/>
      <c r="D212" s="720">
        <f>MAX(_xll.xlDateSettle("TARGET",$D$4,2),L212)</f>
        <v>43179</v>
      </c>
      <c r="E212" s="718" t="s">
        <v>680</v>
      </c>
      <c r="F212" s="13" t="s">
        <v>1518</v>
      </c>
      <c r="G212" s="35">
        <v>44494</v>
      </c>
      <c r="H212" s="37">
        <v>3.25</v>
      </c>
      <c r="I212" s="11">
        <v>44494</v>
      </c>
      <c r="J212" s="11">
        <v>40476</v>
      </c>
      <c r="K212" s="11">
        <v>40841</v>
      </c>
      <c r="L212" s="11">
        <v>40701</v>
      </c>
      <c r="M212" s="12">
        <v>97.88</v>
      </c>
      <c r="N212" s="12" t="s">
        <v>1555</v>
      </c>
      <c r="O212" s="12" t="s">
        <v>1178</v>
      </c>
      <c r="P212" s="12" t="s">
        <v>1556</v>
      </c>
      <c r="Q212" s="15">
        <v>39891000000</v>
      </c>
      <c r="R212" s="12"/>
      <c r="S212" s="43">
        <f>_xll.RtGet("IDN",$X212,$S$9)</f>
        <v>112.467</v>
      </c>
      <c r="T212" s="43">
        <f>_xll.RtGet("IDN",$X212,$T$9)</f>
        <v>112.527</v>
      </c>
      <c r="U212" s="25">
        <f t="shared" si="33"/>
        <v>112.497</v>
      </c>
      <c r="V212" s="12"/>
      <c r="W212" s="25">
        <f t="shared" si="34"/>
        <v>112.497</v>
      </c>
      <c r="X212" s="14" t="str">
        <f t="shared" si="28"/>
        <v>FR0011059088=</v>
      </c>
      <c r="Y212" s="14"/>
      <c r="Z212" s="14"/>
      <c r="AA212" s="14"/>
      <c r="AB212" s="14"/>
      <c r="AC212" s="14"/>
      <c r="AD212" s="34">
        <f>IF(ISNUMBER($D212),_xll.xlBondYield($F212,$H212,$G212,$J212,$K212,$L212,$M212,$D212,$W212,IF(NOT($H212),TRUE,FALSE)),"")</f>
        <v>-2.0482842498405034E-3</v>
      </c>
      <c r="AE212" s="12"/>
      <c r="AF212" s="12"/>
      <c r="AG212" s="12"/>
      <c r="AH212" s="14"/>
      <c r="AI212" s="14"/>
      <c r="AJ212" s="14"/>
      <c r="AK212" s="246">
        <f>IF(ISNUMBER($D212),_xll.xlBondAswSpread($F212&amp;T(TYPE($AV$1)),$H212,$G212,$J212,$K212,$L212,$M212,$D212,$W212,IF(NOT($H212),TRUE,FALSE),curveName,curveName,,,2),"")</f>
        <v>-0.37266342826257892</v>
      </c>
      <c r="AL212" s="213">
        <f>IF($W212&gt;0,_xll.xlBondZSpread(F212&amp;T(TYPE($AV$1)),H212,G212,J212,K212,L212,M212,D212,U212,"annual",5,IF(NOT($H212),TRUE,FALSE),curveName)*100,"")</f>
        <v>-35.10682338238513</v>
      </c>
      <c r="AM212" s="266">
        <f>(-IF($AL$9="",VLOOKUP(VLOOKUP(E212,'DB Basis'!$D$2:$H$65205,4,0),Bonds!$AR$1:$AS$6,2,0),$AL$9)*VLOOKUP(E212,'DB Basis'!$D$2:$E$65205,2,0))+IF(V212="",W212,V212)</f>
        <v>30.445660000000004</v>
      </c>
      <c r="AN212" s="274" t="str">
        <f>IF($AN$9+(($AL$9-$AM$9))*('DB Basis'!F372/10-'DB Basis'!E372),," ")</f>
        <v xml:space="preserve"> </v>
      </c>
      <c r="AO212" s="639">
        <f>IF(U212&gt;0,_xll.xlShmImplSwap2(curveName&amp;T(TYPE($AV$1)),curveName,D212,G212,,1,8,2,4),"")</f>
        <v>1.5796095590991841E-3</v>
      </c>
      <c r="AP212" s="640">
        <f t="shared" si="29"/>
        <v>-3.6278938089396875E-3</v>
      </c>
      <c r="AQ212" s="386">
        <f t="shared" si="30"/>
        <v>463.70792832168974</v>
      </c>
      <c r="AR212" s="386">
        <f t="shared" si="31"/>
        <v>444.32581510571202</v>
      </c>
      <c r="AS212" s="388"/>
      <c r="AT212" s="242">
        <f t="shared" si="32"/>
        <v>-0.20202255614865239</v>
      </c>
      <c r="AU212" s="686" t="str">
        <f t="shared" si="27"/>
        <v>OAT  25-Oct-21  3.25</v>
      </c>
      <c r="AV212" s="702"/>
      <c r="AW212" s="684"/>
      <c r="AX212" s="684"/>
      <c r="AY212" s="684"/>
      <c r="AZ212" s="684"/>
      <c r="BA212" s="684"/>
      <c r="BB212" s="683"/>
      <c r="BC212" s="696"/>
      <c r="BE212" s="706">
        <f>_xll.xlDateShiftMonth(BE211,1)</f>
        <v>49306</v>
      </c>
      <c r="BF212" s="707">
        <v>2.5273544927576715E-2</v>
      </c>
      <c r="BU212" s="133" t="s">
        <v>599</v>
      </c>
      <c r="BV212" s="133" t="s">
        <v>599</v>
      </c>
      <c r="BW212" s="133" t="s">
        <v>599</v>
      </c>
      <c r="BX212" s="133" t="s">
        <v>599</v>
      </c>
      <c r="BY212" s="133" t="s">
        <v>599</v>
      </c>
      <c r="BZ212" s="133" t="s">
        <v>599</v>
      </c>
      <c r="CA212" s="133" t="s">
        <v>599</v>
      </c>
      <c r="CB212" s="133" t="s">
        <v>599</v>
      </c>
      <c r="CC212" s="133" t="s">
        <v>599</v>
      </c>
      <c r="CD212" s="133" t="s">
        <v>599</v>
      </c>
      <c r="CE212" s="133" t="s">
        <v>599</v>
      </c>
      <c r="CF212" s="133" t="s">
        <v>599</v>
      </c>
    </row>
    <row r="213" spans="1:84">
      <c r="A213" s="10"/>
      <c r="B213" s="11"/>
      <c r="C213" s="12"/>
      <c r="D213" s="720">
        <f>MAX(_xll.xlDateSettle("TARGET",$D$4,2),L213)</f>
        <v>43179</v>
      </c>
      <c r="E213" s="718" t="s">
        <v>681</v>
      </c>
      <c r="F213" s="13" t="s">
        <v>1518</v>
      </c>
      <c r="G213" s="35">
        <v>44676</v>
      </c>
      <c r="H213" s="37">
        <v>3</v>
      </c>
      <c r="I213" s="11">
        <v>44676</v>
      </c>
      <c r="J213" s="11">
        <v>40658</v>
      </c>
      <c r="K213" s="11">
        <v>41024</v>
      </c>
      <c r="L213" s="11">
        <v>40946</v>
      </c>
      <c r="M213" s="12">
        <v>98.9</v>
      </c>
      <c r="N213" s="12" t="s">
        <v>1557</v>
      </c>
      <c r="O213" s="12" t="s">
        <v>1178</v>
      </c>
      <c r="P213" s="12" t="s">
        <v>1558</v>
      </c>
      <c r="Q213" s="15">
        <v>44359000000</v>
      </c>
      <c r="R213" s="12"/>
      <c r="S213" s="43">
        <f>_xll.RtGet("IDN",$X213,$S$9)</f>
        <v>112.82600000000001</v>
      </c>
      <c r="T213" s="43">
        <f>_xll.RtGet("IDN",$X213,$T$9)</f>
        <v>112.864</v>
      </c>
      <c r="U213" s="25">
        <f t="shared" si="33"/>
        <v>112.845</v>
      </c>
      <c r="V213" s="12"/>
      <c r="W213" s="25">
        <f t="shared" si="34"/>
        <v>112.845</v>
      </c>
      <c r="X213" s="14" t="str">
        <f t="shared" si="28"/>
        <v>FR0011196856=</v>
      </c>
      <c r="Y213" s="14"/>
      <c r="Z213" s="14"/>
      <c r="AA213" s="14"/>
      <c r="AB213" s="14"/>
      <c r="AC213" s="14"/>
      <c r="AD213" s="34">
        <f>IF(ISNUMBER($D213),_xll.xlBondYield($F213,$H213,$G213,$J213,$K213,$L213,$M213,$D213,$W213,IF(NOT($H213),TRUE,FALSE)),"")</f>
        <v>-1.2400594915926953E-3</v>
      </c>
      <c r="AE213" s="12"/>
      <c r="AF213" s="12"/>
      <c r="AG213" s="12"/>
      <c r="AH213" s="14"/>
      <c r="AI213" s="14"/>
      <c r="AJ213" s="14"/>
      <c r="AK213" s="758">
        <f>IF(ISNUMBER($D213),_xll.xlBondAswSpread($F213&amp;T(TYPE($AV$1)),$H213,$G213,$J213,$K213,$L213,$M213,$D213,$W213,IF(NOT($H213),TRUE,FALSE),curveName,curveName,,,2),"")</f>
        <v>-0.38573309253456656</v>
      </c>
      <c r="AL213" s="213">
        <f>IF($W213&gt;0,_xll.xlBondZSpread(F213&amp;T(TYPE($AV$1)),H213,G213,J213,K213,L213,M213,D213,U213,"annual",5,IF(NOT($H213),TRUE,FALSE),curveName)*100,"")</f>
        <v>-36.411142846404267</v>
      </c>
      <c r="AM213" s="266">
        <f>(-IF($AL$9="",VLOOKUP(VLOOKUP(E213,'DB Basis'!$D$2:$H$65205,4,0),Bonds!$AR$1:$AS$6,2,0),$AL$9)*VLOOKUP(E213,'DB Basis'!$D$2:$E$65205,2,0))+IF(V213="",W213,V213)</f>
        <v>19.949295000000006</v>
      </c>
      <c r="AN213" s="274" t="str">
        <f>IF($AN$9+(($AL$9-$AM$9))*('DB Basis'!F373/10-'DB Basis'!E373),," ")</f>
        <v xml:space="preserve"> </v>
      </c>
      <c r="AO213" s="639">
        <f>IF(U213&gt;0,_xll.xlShmImplSwap2(curveName&amp;T(TYPE($AV$1)),curveName,D213,G213,,1,8,2,4),"")</f>
        <v>2.5347040566872409E-3</v>
      </c>
      <c r="AP213" s="640">
        <f t="shared" si="29"/>
        <v>-3.7747635482799362E-3</v>
      </c>
      <c r="AQ213" s="386">
        <f t="shared" si="30"/>
        <v>16.208903118706044</v>
      </c>
      <c r="AR213" s="386">
        <f t="shared" si="31"/>
        <v>-2.9454645527027905</v>
      </c>
      <c r="AS213" s="388"/>
      <c r="AT213" s="242">
        <f t="shared" si="32"/>
        <v>-0.12230723752695077</v>
      </c>
      <c r="AU213" s="686" t="str">
        <f t="shared" si="27"/>
        <v>OAT  25-Apr-22  3</v>
      </c>
      <c r="AV213" s="702"/>
      <c r="AW213" s="684"/>
      <c r="AX213" s="684"/>
      <c r="AY213" s="684"/>
      <c r="AZ213" s="684"/>
      <c r="BA213" s="684"/>
      <c r="BB213" s="683"/>
      <c r="BC213" s="696"/>
      <c r="BE213" s="706">
        <f>_xll.xlDateShiftMonth(BE212,1)</f>
        <v>49337</v>
      </c>
      <c r="BF213" s="707">
        <v>2.5314572622332783E-2</v>
      </c>
      <c r="BU213" s="133" t="s">
        <v>599</v>
      </c>
      <c r="BV213" s="133" t="s">
        <v>599</v>
      </c>
      <c r="BW213" s="133" t="s">
        <v>599</v>
      </c>
      <c r="BX213" s="133" t="s">
        <v>599</v>
      </c>
      <c r="BY213" s="133" t="s">
        <v>599</v>
      </c>
      <c r="BZ213" s="133" t="s">
        <v>599</v>
      </c>
      <c r="CA213" s="133" t="s">
        <v>599</v>
      </c>
      <c r="CB213" s="133" t="s">
        <v>599</v>
      </c>
      <c r="CC213" s="133" t="s">
        <v>599</v>
      </c>
      <c r="CD213" s="133" t="s">
        <v>599</v>
      </c>
      <c r="CE213" s="133" t="s">
        <v>599</v>
      </c>
      <c r="CF213" s="133" t="s">
        <v>599</v>
      </c>
    </row>
    <row r="214" spans="1:84">
      <c r="A214" s="10"/>
      <c r="B214" s="11"/>
      <c r="C214" s="12"/>
      <c r="D214" s="720">
        <f>MAX(_xll.xlDateSettle("TARGET",$D$4,2),L214)</f>
        <v>43179</v>
      </c>
      <c r="E214" s="718" t="s">
        <v>941</v>
      </c>
      <c r="F214" s="13" t="s">
        <v>1518</v>
      </c>
      <c r="G214" s="35">
        <v>44676</v>
      </c>
      <c r="H214" s="37">
        <v>8.25</v>
      </c>
      <c r="I214" s="11">
        <v>44676</v>
      </c>
      <c r="J214" s="11">
        <v>33646</v>
      </c>
      <c r="K214" s="11">
        <v>33719</v>
      </c>
      <c r="L214" s="11">
        <v>33646</v>
      </c>
      <c r="M214" s="12">
        <v>98.64</v>
      </c>
      <c r="N214" s="12" t="s">
        <v>1559</v>
      </c>
      <c r="O214" s="12" t="s">
        <v>1178</v>
      </c>
      <c r="P214" s="12" t="s">
        <v>1560</v>
      </c>
      <c r="Q214" s="15">
        <v>1243939990</v>
      </c>
      <c r="R214" s="12"/>
      <c r="S214" s="43">
        <f>_xll.RtGet("IDN",$X214,$S$9)</f>
        <v>134.48500000000001</v>
      </c>
      <c r="T214" s="43">
        <f>_xll.RtGet("IDN",$X214,$T$9)</f>
        <v>134.54500000000002</v>
      </c>
      <c r="U214" s="25">
        <f t="shared" si="33"/>
        <v>134.51500000000001</v>
      </c>
      <c r="V214" s="12"/>
      <c r="W214" s="25">
        <f t="shared" si="34"/>
        <v>134.51500000000001</v>
      </c>
      <c r="X214" s="14" t="str">
        <f t="shared" si="28"/>
        <v>FR0000571044=</v>
      </c>
      <c r="Y214" s="14"/>
      <c r="Z214" s="14"/>
      <c r="AA214" s="14"/>
      <c r="AB214" s="14"/>
      <c r="AC214" s="14"/>
      <c r="AD214" s="34">
        <f>IF(ISNUMBER($D214),_xll.xlBondYield($F214,$H214,$G214,$J214,$K214,$L214,$M214,$D214,$W214,IF(NOT($H214),TRUE,FALSE)),"")</f>
        <v>-1.4071968868114362E-3</v>
      </c>
      <c r="AE214" s="12"/>
      <c r="AF214" s="12"/>
      <c r="AG214" s="12"/>
      <c r="AH214" s="14"/>
      <c r="AI214" s="14"/>
      <c r="AJ214" s="14"/>
      <c r="AK214" s="246">
        <f>IF(ISNUMBER($D214),_xll.xlBondAswSpread($F214&amp;T(TYPE($AV$1)),$H214,$G214,$J214,$K214,$L214,$M214,$D214,$W214,IF(NOT($H214),TRUE,FALSE),curveName,curveName,,,2),"")</f>
        <v>-0.42981215492307689</v>
      </c>
      <c r="AL214" s="213">
        <f>IF($W214&gt;0,_xll.xlBondZSpread(F214&amp;T(TYPE($AV$1)),H214,G214,J214,K214,L214,M214,D214,U214,"annual",5,IF(NOT($H214),TRUE,FALSE),curveName)*100,"")</f>
        <v>-36.044064100166736</v>
      </c>
      <c r="AM214" s="266" t="e">
        <f>(-IF($AL$9="",VLOOKUP(VLOOKUP(E214,'DB Basis'!$D$2:$H$65205,4,0),Bonds!$AR$1:$AS$6,2,0),$AL$9)*VLOOKUP(E214,'DB Basis'!$D$2:$E$65205,2,0))+IF(V214="",W214,V214)</f>
        <v>#N/A</v>
      </c>
      <c r="AN214" s="274" t="str">
        <f>IF($AN$9+(($AL$9-$AM$9))*('DB Basis'!F374/10-'DB Basis'!E374),," ")</f>
        <v xml:space="preserve"> </v>
      </c>
      <c r="AO214" s="639">
        <f>IF(U214&gt;0,_xll.xlShmImplSwap2(curveName&amp;T(TYPE($AV$1)),curveName,D214,G214,,1,8,2,4),"")</f>
        <v>2.5347040566872409E-3</v>
      </c>
      <c r="AP214" s="640">
        <f t="shared" si="29"/>
        <v>-3.9419009434986767E-3</v>
      </c>
      <c r="AQ214" s="386" t="str">
        <f t="shared" si="30"/>
        <v>-</v>
      </c>
      <c r="AR214" s="386" t="str">
        <f t="shared" si="31"/>
        <v>-</v>
      </c>
      <c r="AS214" s="388"/>
      <c r="AT214" s="242">
        <f t="shared" si="32"/>
        <v>-0.13879202171290878</v>
      </c>
      <c r="AU214" s="686" t="str">
        <f t="shared" si="27"/>
        <v>OAT  25-Apr-22  8.25</v>
      </c>
      <c r="AV214" s="702"/>
      <c r="AW214" s="684"/>
      <c r="AX214" s="684"/>
      <c r="AY214" s="684"/>
      <c r="AZ214" s="684"/>
      <c r="BA214" s="684"/>
      <c r="BB214" s="683"/>
      <c r="BC214" s="696"/>
      <c r="BE214" s="706">
        <f>_xll.xlDateShiftMonth(BE213,1)</f>
        <v>49368</v>
      </c>
      <c r="BF214" s="707">
        <v>2.5355101585670146E-2</v>
      </c>
      <c r="BU214" s="133" t="s">
        <v>599</v>
      </c>
      <c r="BV214" s="133" t="s">
        <v>599</v>
      </c>
      <c r="BW214" s="133" t="s">
        <v>599</v>
      </c>
      <c r="BX214" s="133" t="s">
        <v>599</v>
      </c>
      <c r="BY214" s="133" t="s">
        <v>599</v>
      </c>
      <c r="BZ214" s="133" t="s">
        <v>599</v>
      </c>
      <c r="CA214" s="133" t="s">
        <v>599</v>
      </c>
      <c r="CB214" s="133" t="s">
        <v>599</v>
      </c>
      <c r="CC214" s="133" t="s">
        <v>599</v>
      </c>
      <c r="CD214" s="133" t="s">
        <v>599</v>
      </c>
      <c r="CE214" s="133" t="s">
        <v>599</v>
      </c>
      <c r="CF214" s="133" t="s">
        <v>599</v>
      </c>
    </row>
    <row r="215" spans="1:84">
      <c r="A215" s="10"/>
      <c r="B215" s="11"/>
      <c r="C215" s="12"/>
      <c r="D215" s="720">
        <f>MAX(_xll.xlDateSettle("TARGET",$D$4,2),L215)</f>
        <v>43179</v>
      </c>
      <c r="E215" s="718" t="s">
        <v>891</v>
      </c>
      <c r="F215" s="13" t="s">
        <v>1518</v>
      </c>
      <c r="G215" s="35">
        <v>44706</v>
      </c>
      <c r="H215" s="37">
        <v>0</v>
      </c>
      <c r="I215" s="11">
        <v>44706</v>
      </c>
      <c r="J215" s="11">
        <v>42515</v>
      </c>
      <c r="K215" s="11">
        <v>42880</v>
      </c>
      <c r="L215" s="11">
        <v>42695</v>
      </c>
      <c r="M215" s="12">
        <v>100.15</v>
      </c>
      <c r="N215" s="12" t="s">
        <v>1561</v>
      </c>
      <c r="O215" s="12" t="s">
        <v>1197</v>
      </c>
      <c r="P215" s="12" t="s">
        <v>1562</v>
      </c>
      <c r="Q215" s="15">
        <v>25105000000</v>
      </c>
      <c r="R215" s="12"/>
      <c r="S215" s="43">
        <f>_xll.RtGet("IDN",$X215,$S$9)</f>
        <v>100.32000000000001</v>
      </c>
      <c r="T215" s="43">
        <f>_xll.RtGet("IDN",$X215,$T$9)</f>
        <v>100.4</v>
      </c>
      <c r="U215" s="25">
        <f t="shared" si="33"/>
        <v>100.36000000000001</v>
      </c>
      <c r="V215" s="12"/>
      <c r="W215" s="25">
        <f t="shared" si="34"/>
        <v>100.36000000000001</v>
      </c>
      <c r="X215" s="14" t="str">
        <f t="shared" si="28"/>
        <v>FR0013219177=</v>
      </c>
      <c r="Y215" s="14"/>
      <c r="Z215" s="14"/>
      <c r="AA215" s="14"/>
      <c r="AB215" s="14"/>
      <c r="AC215" s="14"/>
      <c r="AD215" s="34" t="str">
        <f>IF(ISNUMBER($D215),_xll.xlBondYield($F215,$H215,$G215,$J215,$K215,$L215,$M215,$D215,$W215,IF(NOT($H215),TRUE,FALSE)),"")</f>
        <v>Bond not alive on calculation date</v>
      </c>
      <c r="AE215" s="12"/>
      <c r="AF215" s="12"/>
      <c r="AG215" s="12"/>
      <c r="AH215" s="14"/>
      <c r="AI215" s="14"/>
      <c r="AJ215" s="14"/>
      <c r="AK215" s="246" t="str">
        <f>IF(ISNUMBER($D215),_xll.xlBondAswSpread($F215&amp;T(TYPE($AV$1)),$H215,$G215,$J215,$K215,$L215,$M215,$D215,$W215,IF(NOT($H215),TRUE,FALSE),curveName,curveName,,,2),"")</f>
        <v>Bond not alive on calculation date</v>
      </c>
      <c r="AL215" s="213" t="e">
        <f>IF($W215&gt;0,_xll.xlBondZSpread(F215&amp;T(TYPE($AV$1)),H215,G215,J215,K215,L215,M215,D215,U215,"annual",5,IF(NOT($H215),TRUE,FALSE),curveName)*100,"")</f>
        <v>#VALUE!</v>
      </c>
      <c r="AM215" s="266">
        <f>(-IF($AL$9="",VLOOKUP(VLOOKUP(E215,'DB Basis'!$D$2:$H$65205,4,0),Bonds!$AR$1:$AS$6,2,0),$AL$9)*VLOOKUP(E215,'DB Basis'!$D$2:$E$65205,2,0))+IF(V215="",W215,V215)</f>
        <v>12.690495000000013</v>
      </c>
      <c r="AN215" s="274" t="str">
        <f>IF($AN$9+(($AL$9-$AM$9))*('DB Basis'!F375/10-'DB Basis'!E375),," ")</f>
        <v xml:space="preserve"> </v>
      </c>
      <c r="AO215" s="639">
        <f>IF(U215&gt;0,_xll.xlShmImplSwap2(curveName&amp;T(TYPE($AV$1)),curveName,D215,G215,,1,8,2,4),"")</f>
        <v>2.6787547448089088E-3</v>
      </c>
      <c r="AP215" s="640" t="str">
        <f t="shared" si="29"/>
        <v>-</v>
      </c>
      <c r="AQ215" s="386" t="str">
        <f t="shared" si="30"/>
        <v>-</v>
      </c>
      <c r="AR215" s="386" t="str">
        <f t="shared" si="31"/>
        <v>-</v>
      </c>
      <c r="AS215" s="388"/>
      <c r="AT215" s="242" t="str">
        <f t="shared" si="32"/>
        <v>-</v>
      </c>
      <c r="AU215" s="686" t="str">
        <f t="shared" si="27"/>
        <v>OAT  25-May-22  0</v>
      </c>
      <c r="AV215" s="702"/>
      <c r="AW215" s="684"/>
      <c r="AX215" s="684"/>
      <c r="AY215" s="684"/>
      <c r="AZ215" s="684"/>
      <c r="BA215" s="684"/>
      <c r="BB215" s="683"/>
      <c r="BC215" s="696"/>
      <c r="BE215" s="706">
        <f>_xll.xlDateShiftMonth(BE214,1)</f>
        <v>49396</v>
      </c>
      <c r="BF215" s="707">
        <v>2.5391297217718555E-2</v>
      </c>
      <c r="BU215" s="133" t="s">
        <v>599</v>
      </c>
      <c r="BV215" s="133" t="s">
        <v>599</v>
      </c>
      <c r="BW215" s="133" t="s">
        <v>599</v>
      </c>
      <c r="BX215" s="133" t="s">
        <v>599</v>
      </c>
      <c r="BY215" s="133" t="s">
        <v>599</v>
      </c>
      <c r="BZ215" s="133" t="s">
        <v>599</v>
      </c>
      <c r="CA215" s="133" t="s">
        <v>599</v>
      </c>
      <c r="CB215" s="133" t="s">
        <v>599</v>
      </c>
      <c r="CC215" s="133" t="s">
        <v>599</v>
      </c>
      <c r="CD215" s="133" t="s">
        <v>599</v>
      </c>
      <c r="CE215" s="133" t="s">
        <v>599</v>
      </c>
      <c r="CF215" s="133" t="s">
        <v>599</v>
      </c>
    </row>
    <row r="216" spans="1:84">
      <c r="A216" s="10"/>
      <c r="B216" s="11"/>
      <c r="C216" s="12"/>
      <c r="D216" s="720">
        <f>MAX(_xll.xlDateSettle("TARGET",$D$4,2),L216)</f>
        <v>43179</v>
      </c>
      <c r="E216" s="718" t="s">
        <v>682</v>
      </c>
      <c r="F216" s="13" t="s">
        <v>1518</v>
      </c>
      <c r="G216" s="35">
        <v>44859</v>
      </c>
      <c r="H216" s="37">
        <v>2.25</v>
      </c>
      <c r="I216" s="11">
        <v>44859</v>
      </c>
      <c r="J216" s="11">
        <v>40841</v>
      </c>
      <c r="K216" s="11">
        <v>41207</v>
      </c>
      <c r="L216" s="11">
        <v>41191</v>
      </c>
      <c r="M216" s="12">
        <v>99.75</v>
      </c>
      <c r="N216" s="12" t="s">
        <v>1563</v>
      </c>
      <c r="O216" s="12" t="s">
        <v>1178</v>
      </c>
      <c r="P216" s="12" t="s">
        <v>1564</v>
      </c>
      <c r="Q216" s="15">
        <v>32445000000</v>
      </c>
      <c r="R216" s="12"/>
      <c r="S216" s="43">
        <f>_xll.RtGet("IDN",$X216,$S$9)</f>
        <v>110.465</v>
      </c>
      <c r="T216" s="43">
        <f>_xll.RtGet("IDN",$X216,$T$9)</f>
        <v>110.495</v>
      </c>
      <c r="U216" s="25">
        <f t="shared" si="33"/>
        <v>110.48</v>
      </c>
      <c r="V216" s="12"/>
      <c r="W216" s="25">
        <f t="shared" si="34"/>
        <v>110.48</v>
      </c>
      <c r="X216" s="14" t="str">
        <f t="shared" si="28"/>
        <v>FR0011337880=</v>
      </c>
      <c r="Y216" s="14"/>
      <c r="Z216" s="14"/>
      <c r="AA216" s="14"/>
      <c r="AB216" s="14"/>
      <c r="AC216" s="14"/>
      <c r="AD216" s="34">
        <f>IF(ISNUMBER($D216),_xll.xlBondYield($F216,$H216,$G216,$J216,$K216,$L216,$M216,$D216,$W216,IF(NOT($H216),TRUE,FALSE)),"")</f>
        <v>-2.6551790707649361E-4</v>
      </c>
      <c r="AE216" s="12"/>
      <c r="AF216" s="12"/>
      <c r="AG216" s="12"/>
      <c r="AH216" s="14"/>
      <c r="AI216" s="14"/>
      <c r="AJ216" s="14"/>
      <c r="AK216" s="246">
        <f>IF(ISNUMBER($D216),_xll.xlBondAswSpread($F216&amp;T(TYPE($AV$1)),$H216,$G216,$J216,$K216,$L216,$M216,$D216,$W216,IF(NOT($H216),TRUE,FALSE),curveName,curveName,,,2),"")</f>
        <v>-0.37162815033499513</v>
      </c>
      <c r="AL216" s="213">
        <f>IF($W216&gt;0,_xll.xlBondZSpread(F216&amp;T(TYPE($AV$1)),H216,G216,J216,K216,L216,M216,D216,U216,"annual",5,IF(NOT($H216),TRUE,FALSE),curveName)*100,"")</f>
        <v>-35.654310096276468</v>
      </c>
      <c r="AM216" s="266">
        <f>(-IF($AL$9="",VLOOKUP(VLOOKUP(E216,'DB Basis'!$D$2:$H$65205,4,0),Bonds!$AR$1:$AS$6,2,0),$AL$9)*VLOOKUP(E216,'DB Basis'!$D$2:$E$65205,2,0))+IF(V216="",W216,V216)</f>
        <v>8.3077899999999971</v>
      </c>
      <c r="AN216" s="274" t="str">
        <f>IF($AN$9+(($AL$9-$AM$9))*('DB Basis'!F376/10-'DB Basis'!E376),," ")</f>
        <v xml:space="preserve"> </v>
      </c>
      <c r="AO216" s="639">
        <f>IF(U216&gt;0,_xll.xlShmImplSwap2(curveName&amp;T(TYPE($AV$1)),curveName,D216,G216,,1,8,2,4),"")</f>
        <v>3.4210295953076173E-3</v>
      </c>
      <c r="AP216" s="640">
        <f t="shared" si="29"/>
        <v>-3.686547502384111E-3</v>
      </c>
      <c r="AQ216" s="386" t="str">
        <f t="shared" si="30"/>
        <v>-</v>
      </c>
      <c r="AR216" s="386" t="str">
        <f t="shared" si="31"/>
        <v>-</v>
      </c>
      <c r="AS216" s="388"/>
      <c r="AT216" s="242">
        <f t="shared" si="32"/>
        <v>-2.6188067547270603E-2</v>
      </c>
      <c r="AU216" s="686" t="str">
        <f t="shared" si="27"/>
        <v>OAT  25-Oct-22  2.25</v>
      </c>
      <c r="AV216" s="702"/>
      <c r="AW216" s="684"/>
      <c r="AX216" s="684"/>
      <c r="AY216" s="684"/>
      <c r="AZ216" s="684"/>
      <c r="BA216" s="684"/>
      <c r="BB216" s="683"/>
      <c r="BC216" s="696"/>
      <c r="BE216" s="706">
        <f>_xll.xlDateShiftMonth(BE215,1)</f>
        <v>49427</v>
      </c>
      <c r="BF216" s="707">
        <v>2.5430935096743625E-2</v>
      </c>
      <c r="BU216" s="133" t="s">
        <v>599</v>
      </c>
      <c r="BV216" s="133" t="s">
        <v>599</v>
      </c>
      <c r="BW216" s="133" t="s">
        <v>599</v>
      </c>
      <c r="BX216" s="133" t="s">
        <v>599</v>
      </c>
      <c r="BY216" s="133" t="s">
        <v>599</v>
      </c>
      <c r="BZ216" s="133" t="s">
        <v>599</v>
      </c>
      <c r="CA216" s="133" t="s">
        <v>599</v>
      </c>
      <c r="CB216" s="133" t="s">
        <v>599</v>
      </c>
      <c r="CC216" s="133" t="s">
        <v>599</v>
      </c>
      <c r="CD216" s="133" t="s">
        <v>599</v>
      </c>
      <c r="CE216" s="133" t="s">
        <v>599</v>
      </c>
      <c r="CF216" s="133" t="s">
        <v>599</v>
      </c>
    </row>
    <row r="217" spans="1:84">
      <c r="A217" s="10"/>
      <c r="B217" s="11"/>
      <c r="C217" s="12"/>
      <c r="D217" s="720">
        <f>MAX(_xll.xlDateSettle("TARGET",$D$4,2),L217)</f>
        <v>43179</v>
      </c>
      <c r="E217" s="718" t="s">
        <v>1638</v>
      </c>
      <c r="F217" s="13" t="s">
        <v>1518</v>
      </c>
      <c r="G217" s="35">
        <v>45010</v>
      </c>
      <c r="H217" s="37">
        <v>0</v>
      </c>
      <c r="I217" s="11">
        <v>45010</v>
      </c>
      <c r="J217" s="11">
        <v>42819</v>
      </c>
      <c r="K217" s="11">
        <v>43184</v>
      </c>
      <c r="L217" s="11">
        <v>43003</v>
      </c>
      <c r="M217" s="12">
        <v>100</v>
      </c>
      <c r="N217" s="12" t="s">
        <v>1565</v>
      </c>
      <c r="O217" s="12" t="s">
        <v>1197</v>
      </c>
      <c r="P217" s="12" t="s">
        <v>1566</v>
      </c>
      <c r="Q217" s="15">
        <v>17488000000</v>
      </c>
      <c r="R217" s="12"/>
      <c r="S217" s="43">
        <f>_xll.RtGet("IDN",$X217,$S$9)</f>
        <v>99.561000000000007</v>
      </c>
      <c r="T217" s="43">
        <f>_xll.RtGet("IDN",$X217,$T$9)</f>
        <v>99.596000000000004</v>
      </c>
      <c r="U217" s="25">
        <f t="shared" si="33"/>
        <v>99.578500000000005</v>
      </c>
      <c r="V217" s="12"/>
      <c r="W217" s="25">
        <f t="shared" si="34"/>
        <v>99.578500000000005</v>
      </c>
      <c r="X217" s="14" t="str">
        <f t="shared" si="28"/>
        <v>FR0013283686=</v>
      </c>
      <c r="Y217" s="14"/>
      <c r="Z217" s="14"/>
      <c r="AA217" s="14"/>
      <c r="AB217" s="14"/>
      <c r="AC217" s="14"/>
      <c r="AD217" s="34" t="str">
        <f>IF(ISNUMBER($D217),_xll.xlBondYield($F217,$H217,$G217,$J217,$K217,$L217,$M217,$D217,$W217,IF(NOT($H217),TRUE,FALSE)),"")</f>
        <v>Bond not alive on calculation date</v>
      </c>
      <c r="AE217" s="12"/>
      <c r="AF217" s="12"/>
      <c r="AG217" s="12"/>
      <c r="AH217" s="14"/>
      <c r="AI217" s="14"/>
      <c r="AJ217" s="14"/>
      <c r="AK217" s="246" t="str">
        <f>IF(ISNUMBER($D217),_xll.xlBondAswSpread($F217&amp;T(TYPE($AV$1)),$H217,$G217,$J217,$K217,$L217,$M217,$D217,$W217,IF(NOT($H217),TRUE,FALSE),curveName,curveName,,,2),"")</f>
        <v>Bond not alive on calculation date</v>
      </c>
      <c r="AL217" s="213" t="e">
        <f>IF($W217&gt;0,_xll.xlBondZSpread(F217&amp;T(TYPE($AV$1)),H217,G217,J217,K217,L217,M217,D217,U217,"annual",5,IF(NOT($H217),TRUE,FALSE),curveName)*100,"")</f>
        <v>#VALUE!</v>
      </c>
      <c r="AM217" s="266">
        <f>(-IF($AL$9="",VLOOKUP(VLOOKUP(E217,'DB Basis'!$D$2:$H$65205,4,0),Bonds!$AR$1:$AS$6,2,0),$AL$9)*VLOOKUP(E217,'DB Basis'!$D$2:$E$65205,2,0))+IF(V217="",W217,V217)</f>
        <v>-4.1615699999999975</v>
      </c>
      <c r="AN217" s="274" t="str">
        <f>IF($AN$9+(($AL$9-$AM$9))*('DB Basis'!F377/10-'DB Basis'!E377),," ")</f>
        <v xml:space="preserve"> </v>
      </c>
      <c r="AO217" s="639">
        <f>IF(U217&gt;0,_xll.xlShmImplSwap2(curveName&amp;T(TYPE($AV$1)),curveName,D217,G217,,1,8,2,4),"")</f>
        <v>4.1520514865812279E-3</v>
      </c>
      <c r="AP217" s="640" t="str">
        <f t="shared" si="29"/>
        <v>-</v>
      </c>
      <c r="AQ217" s="386" t="str">
        <f t="shared" si="30"/>
        <v>-</v>
      </c>
      <c r="AR217" s="386" t="str">
        <f t="shared" si="31"/>
        <v>-</v>
      </c>
      <c r="AS217" s="388"/>
      <c r="AT217" s="242" t="str">
        <f t="shared" si="32"/>
        <v>-</v>
      </c>
      <c r="AU217" s="686" t="str">
        <f t="shared" si="27"/>
        <v>OAT  25-Mar-23  0</v>
      </c>
      <c r="AV217" s="702"/>
      <c r="AW217" s="684"/>
      <c r="AX217" s="684"/>
      <c r="AY217" s="684"/>
      <c r="AZ217" s="684"/>
      <c r="BA217" s="684"/>
      <c r="BB217" s="683"/>
      <c r="BC217" s="696"/>
      <c r="BE217" s="706">
        <f>_xll.xlDateShiftMonth(BE216,1)</f>
        <v>49457</v>
      </c>
      <c r="BF217" s="707">
        <v>2.5468877406383483E-2</v>
      </c>
      <c r="BU217" s="133" t="s">
        <v>599</v>
      </c>
      <c r="BV217" s="133" t="s">
        <v>599</v>
      </c>
      <c r="BW217" s="133" t="s">
        <v>599</v>
      </c>
      <c r="BX217" s="133" t="s">
        <v>599</v>
      </c>
      <c r="BY217" s="133" t="s">
        <v>599</v>
      </c>
      <c r="BZ217" s="133" t="s">
        <v>599</v>
      </c>
      <c r="CA217" s="133" t="s">
        <v>599</v>
      </c>
      <c r="CB217" s="133" t="s">
        <v>599</v>
      </c>
      <c r="CC217" s="133" t="s">
        <v>599</v>
      </c>
      <c r="CD217" s="133" t="s">
        <v>599</v>
      </c>
      <c r="CE217" s="133" t="s">
        <v>599</v>
      </c>
      <c r="CF217" s="133" t="s">
        <v>599</v>
      </c>
    </row>
    <row r="218" spans="1:84">
      <c r="A218" s="10"/>
      <c r="B218" s="11"/>
      <c r="C218" s="12"/>
      <c r="D218" s="720">
        <f>MAX(_xll.xlDateSettle("TARGET",$D$4,2),L218)</f>
        <v>43179</v>
      </c>
      <c r="E218" s="718" t="s">
        <v>942</v>
      </c>
      <c r="F218" s="13" t="s">
        <v>1518</v>
      </c>
      <c r="G218" s="35">
        <v>45041</v>
      </c>
      <c r="H218" s="37">
        <v>8.5</v>
      </c>
      <c r="I218" s="11">
        <v>45041</v>
      </c>
      <c r="J218" s="11">
        <v>33630</v>
      </c>
      <c r="K218" s="11">
        <v>33719</v>
      </c>
      <c r="L218" s="11">
        <v>33630</v>
      </c>
      <c r="M218" s="12">
        <v>101.65</v>
      </c>
      <c r="N218" s="12" t="s">
        <v>1567</v>
      </c>
      <c r="O218" s="12" t="s">
        <v>1178</v>
      </c>
      <c r="P218" s="12" t="s">
        <v>1568</v>
      </c>
      <c r="Q218" s="15">
        <v>10606195903</v>
      </c>
      <c r="R218" s="12"/>
      <c r="S218" s="43">
        <f>_xll.RtGet("IDN",$X218,$S$9)</f>
        <v>143.11500000000001</v>
      </c>
      <c r="T218" s="43">
        <f>_xll.RtGet("IDN",$X218,$T$9)</f>
        <v>143.17500000000001</v>
      </c>
      <c r="U218" s="25">
        <f t="shared" si="33"/>
        <v>143.14500000000001</v>
      </c>
      <c r="V218" s="12"/>
      <c r="W218" s="25">
        <f t="shared" si="34"/>
        <v>143.14500000000001</v>
      </c>
      <c r="X218" s="14" t="str">
        <f t="shared" si="28"/>
        <v>FR0000571085=</v>
      </c>
      <c r="Y218" s="14"/>
      <c r="Z218" s="14"/>
      <c r="AA218" s="14"/>
      <c r="AB218" s="14"/>
      <c r="AC218" s="14"/>
      <c r="AD218" s="34">
        <f>IF(ISNUMBER($D218),_xll.xlBondYield($F218,$H218,$G218,$J218,$K218,$L218,$M218,$D218,$W218,IF(NOT($H218),TRUE,FALSE)),"")</f>
        <v>3.0070176079030619E-4</v>
      </c>
      <c r="AE218" s="12"/>
      <c r="AF218" s="12"/>
      <c r="AG218" s="12"/>
      <c r="AH218" s="14"/>
      <c r="AI218" s="14"/>
      <c r="AJ218" s="14"/>
      <c r="AK218" s="246">
        <f>IF(ISNUMBER($D218),_xll.xlBondAswSpread($F218&amp;T(TYPE($AV$1)),$H218,$G218,$J218,$K218,$L218,$M218,$D218,$W218,IF(NOT($H218),TRUE,FALSE),curveName,curveName,,,2),"")</f>
        <v>-0.42859296716906559</v>
      </c>
      <c r="AL218" s="213">
        <f>IF($W218&gt;0,_xll.xlBondZSpread(F218&amp;T(TYPE($AV$1)),H218,G218,J218,K218,L218,M218,D218,U218,"annual",5,IF(NOT($H218),TRUE,FALSE),curveName)*100,"")</f>
        <v>-34.791730503057636</v>
      </c>
      <c r="AM218" s="266" t="e">
        <f>(-IF($AL$9="",VLOOKUP(VLOOKUP(E218,'DB Basis'!$D$2:$H$65205,4,0),Bonds!$AR$1:$AS$6,2,0),$AL$9)*VLOOKUP(E218,'DB Basis'!$D$2:$E$65205,2,0))+IF(V218="",W218,V218)</f>
        <v>#N/A</v>
      </c>
      <c r="AN218" s="274" t="str">
        <f>IF($AN$9+(($AL$9-$AM$9))*('DB Basis'!F378/10-'DB Basis'!E378),," ")</f>
        <v xml:space="preserve"> </v>
      </c>
      <c r="AO218" s="639">
        <f>IF(U218&gt;0,_xll.xlShmImplSwap2(curveName&amp;T(TYPE($AV$1)),curveName,D218,G218,,1,8,2,4),"")</f>
        <v>4.2741721919280148E-3</v>
      </c>
      <c r="AP218" s="640">
        <f t="shared" si="29"/>
        <v>-3.9734704311377086E-3</v>
      </c>
      <c r="AQ218" s="386" t="str">
        <f t="shared" si="30"/>
        <v>-</v>
      </c>
      <c r="AR218" s="386" t="str">
        <f t="shared" si="31"/>
        <v>-</v>
      </c>
      <c r="AS218" s="388"/>
      <c r="AT218" s="242">
        <f t="shared" si="32"/>
        <v>2.9658255858769925E-2</v>
      </c>
      <c r="AU218" s="686" t="str">
        <f t="shared" si="27"/>
        <v>OAT  25-Apr-23  8.5</v>
      </c>
      <c r="AV218" s="702"/>
      <c r="AW218" s="684"/>
      <c r="AX218" s="684"/>
      <c r="AY218" s="684"/>
      <c r="AZ218" s="684"/>
      <c r="BA218" s="684"/>
      <c r="BB218" s="683"/>
      <c r="BC218" s="696"/>
      <c r="BE218" s="706">
        <f>_xll.xlDateShiftMonth(BE217,1)</f>
        <v>49488</v>
      </c>
      <c r="BF218" s="707">
        <v>2.5507674107071009E-2</v>
      </c>
      <c r="BU218" s="133" t="s">
        <v>599</v>
      </c>
      <c r="BV218" s="133" t="s">
        <v>599</v>
      </c>
      <c r="BW218" s="133" t="s">
        <v>599</v>
      </c>
      <c r="BX218" s="133" t="s">
        <v>599</v>
      </c>
      <c r="BY218" s="133" t="s">
        <v>599</v>
      </c>
      <c r="BZ218" s="133" t="s">
        <v>599</v>
      </c>
      <c r="CA218" s="133" t="s">
        <v>599</v>
      </c>
      <c r="CB218" s="133" t="s">
        <v>599</v>
      </c>
      <c r="CC218" s="133" t="s">
        <v>599</v>
      </c>
      <c r="CD218" s="133" t="s">
        <v>599</v>
      </c>
      <c r="CE218" s="133" t="s">
        <v>599</v>
      </c>
      <c r="CF218" s="133" t="s">
        <v>599</v>
      </c>
    </row>
    <row r="219" spans="1:84">
      <c r="A219" s="10"/>
      <c r="B219" s="11"/>
      <c r="C219" s="12"/>
      <c r="D219" s="720">
        <f>MAX(_xll.xlDateSettle("TARGET",$D$4,2),L219)</f>
        <v>43179</v>
      </c>
      <c r="E219" s="718" t="s">
        <v>683</v>
      </c>
      <c r="F219" s="13" t="s">
        <v>1518</v>
      </c>
      <c r="G219" s="35">
        <v>45071</v>
      </c>
      <c r="H219" s="37">
        <v>1.75</v>
      </c>
      <c r="I219" s="11">
        <v>45071</v>
      </c>
      <c r="J219" s="11">
        <v>41054</v>
      </c>
      <c r="K219" s="11">
        <v>41419</v>
      </c>
      <c r="L219" s="11">
        <v>41401</v>
      </c>
      <c r="M219" s="12">
        <v>99.45</v>
      </c>
      <c r="N219" s="12" t="s">
        <v>1569</v>
      </c>
      <c r="O219" s="12" t="s">
        <v>1178</v>
      </c>
      <c r="P219" s="12" t="s">
        <v>1570</v>
      </c>
      <c r="Q219" s="15">
        <v>35237000000</v>
      </c>
      <c r="R219" s="12"/>
      <c r="S219" s="43">
        <f>_xll.RtGet("IDN",$X219,$S$9)</f>
        <v>108.62</v>
      </c>
      <c r="T219" s="43">
        <f>_xll.RtGet("IDN",$X219,$T$9)</f>
        <v>108.673</v>
      </c>
      <c r="U219" s="25">
        <f t="shared" si="33"/>
        <v>108.6465</v>
      </c>
      <c r="V219" s="12"/>
      <c r="W219" s="25">
        <f t="shared" si="34"/>
        <v>108.6465</v>
      </c>
      <c r="X219" s="14" t="str">
        <f t="shared" si="28"/>
        <v>FR0011486067=</v>
      </c>
      <c r="Y219" s="14"/>
      <c r="Z219" s="14"/>
      <c r="AA219" s="14"/>
      <c r="AB219" s="14"/>
      <c r="AC219" s="14"/>
      <c r="AD219" s="34">
        <f>IF(ISNUMBER($D219),_xll.xlBondYield($F219,$H219,$G219,$J219,$K219,$L219,$M219,$D219,$W219,IF(NOT($H219),TRUE,FALSE)),"")</f>
        <v>7.6979681785730586E-4</v>
      </c>
      <c r="AE219" s="12"/>
      <c r="AF219" s="12"/>
      <c r="AG219" s="12"/>
      <c r="AH219" s="14"/>
      <c r="AI219" s="14"/>
      <c r="AJ219" s="14"/>
      <c r="AK219" s="246">
        <f>IF(ISNUMBER($D219),_xll.xlBondAswSpread($F219&amp;T(TYPE($AV$1)),$H219,$G219,$J219,$K219,$L219,$M219,$D219,$W219,IF(NOT($H219),TRUE,FALSE),curveName,curveName,,,2),"")</f>
        <v>-0.3632344391818822</v>
      </c>
      <c r="AL219" s="213">
        <f>IF($W219&gt;0,_xll.xlBondZSpread(F219&amp;T(TYPE($AV$1)),H219,G219,J219,K219,L219,M219,D219,U219,"annual",5,IF(NOT($H219),TRUE,FALSE),curveName)*100,"")</f>
        <v>-35.253766848819225</v>
      </c>
      <c r="AM219" s="266">
        <f>(-IF($AL$9="",VLOOKUP(VLOOKUP(E219,'DB Basis'!$D$2:$H$65205,4,0),Bonds!$AR$1:$AS$6,2,0),$AL$9)*VLOOKUP(E219,'DB Basis'!$D$2:$E$65205,2,0))+IF(V219="",W219,V219)</f>
        <v>-4.5007299999999901</v>
      </c>
      <c r="AN219" s="274" t="str">
        <f>IF($AN$9+(($AL$9-$AM$9))*('DB Basis'!F379/10-'DB Basis'!E379),," ")</f>
        <v xml:space="preserve"> </v>
      </c>
      <c r="AO219" s="639">
        <f>IF(U219&gt;0,_xll.xlShmImplSwap2(curveName&amp;T(TYPE($AV$1)),curveName,D219,G219,,1,8,2,4),"")</f>
        <v>4.3973563565144419E-3</v>
      </c>
      <c r="AP219" s="640">
        <f t="shared" si="29"/>
        <v>-3.6275595386571361E-3</v>
      </c>
      <c r="AQ219" s="386">
        <f t="shared" si="30"/>
        <v>57.073231943151633</v>
      </c>
      <c r="AR219" s="386">
        <f t="shared" si="31"/>
        <v>42.085825251803001</v>
      </c>
      <c r="AS219" s="388"/>
      <c r="AT219" s="242">
        <f t="shared" si="32"/>
        <v>7.5925165596884961E-2</v>
      </c>
      <c r="AU219" s="686" t="str">
        <f t="shared" si="27"/>
        <v>OAT  25-May-23  1.75</v>
      </c>
      <c r="AV219" s="702"/>
      <c r="AW219" s="684"/>
      <c r="AX219" s="684"/>
      <c r="AY219" s="684"/>
      <c r="AZ219" s="684"/>
      <c r="BA219" s="684"/>
      <c r="BB219" s="683"/>
      <c r="BC219" s="696"/>
      <c r="BE219" s="706">
        <f>_xll.xlDateShiftMonth(BE218,1)</f>
        <v>49518</v>
      </c>
      <c r="BF219" s="707">
        <v>2.5544841783203404E-2</v>
      </c>
      <c r="BU219" s="133" t="s">
        <v>599</v>
      </c>
      <c r="BV219" s="133" t="s">
        <v>599</v>
      </c>
      <c r="BW219" s="133" t="s">
        <v>599</v>
      </c>
      <c r="BX219" s="133" t="s">
        <v>599</v>
      </c>
      <c r="BY219" s="133" t="s">
        <v>599</v>
      </c>
      <c r="BZ219" s="133" t="s">
        <v>599</v>
      </c>
      <c r="CA219" s="133" t="s">
        <v>599</v>
      </c>
      <c r="CB219" s="133" t="s">
        <v>599</v>
      </c>
      <c r="CC219" s="133" t="s">
        <v>599</v>
      </c>
      <c r="CD219" s="133" t="s">
        <v>599</v>
      </c>
      <c r="CE219" s="133" t="s">
        <v>599</v>
      </c>
      <c r="CF219" s="133" t="s">
        <v>599</v>
      </c>
    </row>
    <row r="220" spans="1:84">
      <c r="A220" s="10"/>
      <c r="B220" s="11"/>
      <c r="C220" s="12"/>
      <c r="D220" s="720">
        <f>MAX(_xll.xlDateSettle("TARGET",$D$4,2),L220)</f>
        <v>43179</v>
      </c>
      <c r="E220" s="718" t="s">
        <v>684</v>
      </c>
      <c r="F220" s="13" t="s">
        <v>1518</v>
      </c>
      <c r="G220" s="35">
        <v>45224</v>
      </c>
      <c r="H220" s="37">
        <v>4.25</v>
      </c>
      <c r="I220" s="11">
        <v>45224</v>
      </c>
      <c r="J220" s="11">
        <v>39015</v>
      </c>
      <c r="K220" s="11">
        <v>39380</v>
      </c>
      <c r="L220" s="11">
        <v>39211</v>
      </c>
      <c r="M220" s="12">
        <v>98.36</v>
      </c>
      <c r="N220" s="12" t="s">
        <v>1571</v>
      </c>
      <c r="O220" s="12" t="s">
        <v>1178</v>
      </c>
      <c r="P220" s="12" t="s">
        <v>1572</v>
      </c>
      <c r="Q220" s="15">
        <v>44918000000</v>
      </c>
      <c r="R220" s="12"/>
      <c r="S220" s="43">
        <f>_xll.RtGet("IDN",$X220,$S$9)</f>
        <v>123.03700000000001</v>
      </c>
      <c r="T220" s="43">
        <f>_xll.RtGet("IDN",$X220,$T$9)</f>
        <v>123.137</v>
      </c>
      <c r="U220" s="25">
        <f t="shared" si="33"/>
        <v>123.087</v>
      </c>
      <c r="V220" s="12"/>
      <c r="W220" s="25">
        <f t="shared" si="34"/>
        <v>123.087</v>
      </c>
      <c r="X220" s="14" t="str">
        <f t="shared" si="28"/>
        <v>FR0010466938=</v>
      </c>
      <c r="Y220" s="14"/>
      <c r="Z220" s="14"/>
      <c r="AA220" s="14"/>
      <c r="AB220" s="14"/>
      <c r="AC220" s="14"/>
      <c r="AD220" s="34">
        <f>IF(ISNUMBER($D220),_xll.xlBondYield($F220,$H220,$G220,$J220,$K220,$L220,$M220,$D220,$W220,IF(NOT($H220),TRUE,FALSE)),"")</f>
        <v>1.1197240219834662E-3</v>
      </c>
      <c r="AE220" s="12"/>
      <c r="AF220" s="12"/>
      <c r="AG220" s="12"/>
      <c r="AH220" s="14"/>
      <c r="AI220" s="14"/>
      <c r="AJ220" s="14"/>
      <c r="AK220" s="246">
        <f>IF(ISNUMBER($D220),_xll.xlBondAswSpread($F220&amp;T(TYPE($AV$1)),$H220,$G220,$J220,$K220,$L220,$M220,$D220,$W220,IF(NOT($H220),TRUE,FALSE),curveName,curveName,,,2),"")</f>
        <v>-0.40121084875387725</v>
      </c>
      <c r="AL220" s="213">
        <f>IF($W220&gt;0,_xll.xlBondZSpread(F220&amp;T(TYPE($AV$1)),H220,G220,J220,K220,L220,M220,D220,U220,"annual",5,IF(NOT($H220),TRUE,FALSE),curveName)*100,"")</f>
        <v>-36.122961070142637</v>
      </c>
      <c r="AM220" s="266">
        <f>(-IF($AL$9="",VLOOKUP(VLOOKUP(E220,'DB Basis'!$D$2:$H$65205,4,0),Bonds!$AR$1:$AS$6,2,0),$AL$9)*VLOOKUP(E220,'DB Basis'!$D$2:$E$65205,2,0))+IF(V220="",W220,V220)</f>
        <v>-8.6132400000000047</v>
      </c>
      <c r="AN220" s="274" t="str">
        <f>IF($AN$9+(($AL$9-$AM$9))*('DB Basis'!F380/10-'DB Basis'!E380),," ")</f>
        <v xml:space="preserve"> </v>
      </c>
      <c r="AO220" s="639">
        <f>IF(U220&gt;0,_xll.xlShmImplSwap2(curveName&amp;T(TYPE($AV$1)),curveName,D220,G220,,1,8,2,4),"")</f>
        <v>5.0345969374663733E-3</v>
      </c>
      <c r="AP220" s="640">
        <f t="shared" si="29"/>
        <v>-3.9148729154829072E-3</v>
      </c>
      <c r="AQ220" s="386">
        <f t="shared" si="30"/>
        <v>8.347936569022778</v>
      </c>
      <c r="AR220" s="386">
        <f t="shared" si="31"/>
        <v>-6.8542080092422522</v>
      </c>
      <c r="AS220" s="388"/>
      <c r="AT220" s="242">
        <f t="shared" si="32"/>
        <v>0.11043853367508158</v>
      </c>
      <c r="AU220" s="686" t="str">
        <f t="shared" si="27"/>
        <v>OAT  25-Oct-23  4.25</v>
      </c>
      <c r="AV220" s="702"/>
      <c r="AW220" s="684"/>
      <c r="AX220" s="684"/>
      <c r="AY220" s="684"/>
      <c r="AZ220" s="684"/>
      <c r="BA220" s="684"/>
      <c r="BB220" s="683"/>
      <c r="BC220" s="696"/>
      <c r="BE220" s="706">
        <f>_xll.xlDateShiftMonth(BE219,1)</f>
        <v>49549</v>
      </c>
      <c r="BF220" s="707">
        <v>2.5582878752979717E-2</v>
      </c>
      <c r="BU220" s="133" t="s">
        <v>599</v>
      </c>
      <c r="BV220" s="133" t="s">
        <v>599</v>
      </c>
      <c r="BW220" s="133" t="s">
        <v>599</v>
      </c>
      <c r="BX220" s="133" t="s">
        <v>599</v>
      </c>
      <c r="BY220" s="133" t="s">
        <v>599</v>
      </c>
      <c r="BZ220" s="133" t="s">
        <v>599</v>
      </c>
      <c r="CA220" s="133" t="s">
        <v>599</v>
      </c>
      <c r="CB220" s="133" t="s">
        <v>599</v>
      </c>
      <c r="CC220" s="133" t="s">
        <v>599</v>
      </c>
      <c r="CD220" s="133" t="s">
        <v>599</v>
      </c>
      <c r="CE220" s="133" t="s">
        <v>599</v>
      </c>
      <c r="CF220" s="133" t="s">
        <v>599</v>
      </c>
    </row>
    <row r="221" spans="1:84">
      <c r="A221" s="10"/>
      <c r="B221" s="11"/>
      <c r="C221" s="12"/>
      <c r="D221" s="720">
        <f>MAX(_xll.xlDateSettle("TARGET",$D$4,2),L221)</f>
        <v>43179</v>
      </c>
      <c r="E221" s="718" t="s">
        <v>685</v>
      </c>
      <c r="F221" s="13" t="s">
        <v>1518</v>
      </c>
      <c r="G221" s="35">
        <v>45437</v>
      </c>
      <c r="H221" s="37">
        <v>2.25</v>
      </c>
      <c r="I221" s="11">
        <v>45437</v>
      </c>
      <c r="J221" s="11">
        <v>41419</v>
      </c>
      <c r="K221" s="11">
        <v>41784</v>
      </c>
      <c r="L221" s="11">
        <v>41590</v>
      </c>
      <c r="M221" s="12">
        <v>98.5</v>
      </c>
      <c r="N221" s="12" t="s">
        <v>1573</v>
      </c>
      <c r="O221" s="12" t="s">
        <v>1197</v>
      </c>
      <c r="P221" s="12" t="s">
        <v>1574</v>
      </c>
      <c r="Q221" s="15">
        <v>34810000000</v>
      </c>
      <c r="R221" s="12"/>
      <c r="S221" s="43">
        <f>_xll.RtGet("IDN",$X221,$S$9)</f>
        <v>112.339</v>
      </c>
      <c r="T221" s="43">
        <f>_xll.RtGet("IDN",$X221,$T$9)</f>
        <v>112.39400000000001</v>
      </c>
      <c r="U221" s="25">
        <f t="shared" si="33"/>
        <v>112.3665</v>
      </c>
      <c r="V221" s="12"/>
      <c r="W221" s="25">
        <f t="shared" si="34"/>
        <v>112.3665</v>
      </c>
      <c r="X221" s="14" t="str">
        <f t="shared" si="28"/>
        <v>FR0011619436=</v>
      </c>
      <c r="Y221" s="14"/>
      <c r="Z221" s="14"/>
      <c r="AA221" s="14"/>
      <c r="AB221" s="14"/>
      <c r="AC221" s="14"/>
      <c r="AD221" s="34">
        <f>IF(ISNUMBER($D221),_xll.xlBondYield($F221,$H221,$G221,$J221,$K221,$L221,$M221,$D221,$W221,IF(NOT($H221),TRUE,FALSE)),"")</f>
        <v>2.3244432004887461E-3</v>
      </c>
      <c r="AE221" s="12"/>
      <c r="AF221" s="12"/>
      <c r="AG221" s="12"/>
      <c r="AH221" s="14"/>
      <c r="AI221" s="14"/>
      <c r="AJ221" s="14"/>
      <c r="AK221" s="246">
        <f>IF(ISNUMBER($D221),_xll.xlBondAswSpread($F221&amp;T(TYPE($AV$1)),$H221,$G221,$J221,$K221,$L221,$M221,$D221,$W221,IF(NOT($H221),TRUE,FALSE),curveName,curveName,,,2),"")</f>
        <v>-0.35614896599686957</v>
      </c>
      <c r="AL221" s="213">
        <f>IF($W221&gt;0,_xll.xlBondZSpread(F221&amp;T(TYPE($AV$1)),H221,G221,J221,K221,L221,M221,D221,U221,"annual",5,IF(NOT($H221),TRUE,FALSE),curveName)*100,"")</f>
        <v>-34.015900306101692</v>
      </c>
      <c r="AM221" s="266">
        <f>(-IF($AL$9="",VLOOKUP(VLOOKUP(E221,'DB Basis'!$D$2:$H$65205,4,0),Bonds!$AR$1:$AS$6,2,0),$AL$9)*VLOOKUP(E221,'DB Basis'!$D$2:$E$65205,2,0))+IF(V221="",W221,V221)</f>
        <v>-23.645354999999995</v>
      </c>
      <c r="AN221" s="274" t="str">
        <f>IF($AN$9+(($AL$9-$AM$9))*('DB Basis'!F381/10-'DB Basis'!E381),," ")</f>
        <v xml:space="preserve"> </v>
      </c>
      <c r="AO221" s="639">
        <f>IF(U221&gt;0,_xll.xlShmImplSwap2(curveName&amp;T(TYPE($AV$1)),curveName,D221,G221,,1,8,2,4),"")</f>
        <v>5.890936368598612E-3</v>
      </c>
      <c r="AP221" s="640">
        <f t="shared" si="29"/>
        <v>-3.5664931681098659E-3</v>
      </c>
      <c r="AQ221" s="386">
        <f t="shared" si="30"/>
        <v>20.64424883354118</v>
      </c>
      <c r="AR221" s="386">
        <f t="shared" si="31"/>
        <v>5.9698876897258248</v>
      </c>
      <c r="AS221" s="388"/>
      <c r="AT221" s="242">
        <f t="shared" si="32"/>
        <v>0.22926015128108182</v>
      </c>
      <c r="AU221" s="686" t="str">
        <f t="shared" si="27"/>
        <v>OAT  25-May-24  2.25</v>
      </c>
      <c r="AV221" s="702"/>
      <c r="AW221" s="684"/>
      <c r="AX221" s="684"/>
      <c r="AY221" s="684"/>
      <c r="AZ221" s="684"/>
      <c r="BA221" s="684"/>
      <c r="BB221" s="683"/>
      <c r="BC221" s="696"/>
      <c r="BE221" s="706">
        <f>_xll.xlDateShiftMonth(BE220,1)</f>
        <v>49580</v>
      </c>
      <c r="BF221" s="707">
        <v>2.5620560843120681E-2</v>
      </c>
      <c r="BU221" s="133" t="s">
        <v>599</v>
      </c>
      <c r="BV221" s="133" t="s">
        <v>599</v>
      </c>
      <c r="BW221" s="133" t="s">
        <v>599</v>
      </c>
      <c r="BX221" s="133" t="s">
        <v>599</v>
      </c>
      <c r="BY221" s="133" t="s">
        <v>599</v>
      </c>
      <c r="BZ221" s="133" t="s">
        <v>599</v>
      </c>
      <c r="CA221" s="133" t="s">
        <v>599</v>
      </c>
      <c r="CB221" s="133" t="s">
        <v>599</v>
      </c>
      <c r="CC221" s="133" t="s">
        <v>599</v>
      </c>
      <c r="CD221" s="133" t="s">
        <v>599</v>
      </c>
      <c r="CE221" s="133" t="s">
        <v>599</v>
      </c>
      <c r="CF221" s="133" t="s">
        <v>599</v>
      </c>
    </row>
    <row r="222" spans="1:84">
      <c r="A222" s="10"/>
      <c r="B222" s="11"/>
      <c r="C222" s="12"/>
      <c r="D222" s="720">
        <f>MAX(_xll.xlDateSettle("TARGET",$D$4,2),L222)</f>
        <v>43179</v>
      </c>
      <c r="E222" s="718" t="s">
        <v>1639</v>
      </c>
      <c r="F222" s="13" t="s">
        <v>1518</v>
      </c>
      <c r="G222" s="35">
        <v>45498</v>
      </c>
      <c r="H222" s="37">
        <v>0.25</v>
      </c>
      <c r="I222" s="11">
        <v>45498</v>
      </c>
      <c r="J222" s="11">
        <v>41115</v>
      </c>
      <c r="K222" s="11">
        <v>41480</v>
      </c>
      <c r="L222" s="11">
        <v>41331</v>
      </c>
      <c r="M222" s="12">
        <v>96.81</v>
      </c>
      <c r="N222" s="12" t="s">
        <v>1575</v>
      </c>
      <c r="O222" s="12" t="s">
        <v>1178</v>
      </c>
      <c r="P222" s="12" t="s">
        <v>1576</v>
      </c>
      <c r="Q222" s="15">
        <v>15494000000</v>
      </c>
      <c r="R222" s="12"/>
      <c r="S222" s="43">
        <f>_xll.RtGet("IDN",$X222,$S$9)</f>
        <v>108.952</v>
      </c>
      <c r="T222" s="43">
        <f>_xll.RtGet("IDN",$X222,$T$9)</f>
        <v>109.072</v>
      </c>
      <c r="U222" s="25">
        <f t="shared" si="33"/>
        <v>109.012</v>
      </c>
      <c r="V222" s="12"/>
      <c r="W222" s="25">
        <f t="shared" si="34"/>
        <v>109.012</v>
      </c>
      <c r="X222" s="14" t="str">
        <f t="shared" si="28"/>
        <v>FR0011427848=</v>
      </c>
      <c r="Y222" s="14"/>
      <c r="Z222" s="14"/>
      <c r="AA222" s="14"/>
      <c r="AB222" s="14"/>
      <c r="AC222" s="14"/>
      <c r="AD222" s="34">
        <f>IF(ISNUMBER($D222),_xll.xlBondYield($F222,$H222,$G222,$J222,$K222,$L222,$M222,$D222,$W222,IF(NOT($H222),TRUE,FALSE)),"")</f>
        <v>-1.1121902215580824E-2</v>
      </c>
      <c r="AE222" s="12"/>
      <c r="AF222" s="12"/>
      <c r="AG222" s="12"/>
      <c r="AH222" s="14"/>
      <c r="AI222" s="14"/>
      <c r="AJ222" s="14"/>
      <c r="AK222" s="246">
        <f>IF(ISNUMBER($D222),_xll.xlBondAswSpread($F222&amp;T(TYPE($AV$1)),$H222,$G222,$J222,$K222,$L222,$M222,$D222,$W222,IF(NOT($H222),TRUE,FALSE),curveName,curveName,,,2),"")</f>
        <v>-1.7675663787104092</v>
      </c>
      <c r="AL222" s="213">
        <f>IF($W222&gt;0,_xll.xlBondZSpread(F222&amp;T(TYPE($AV$1)),H222,G222,J222,K222,L222,M222,D222,U222,"annual",5,IF(NOT($H222),TRUE,FALSE),curveName)*100,"")</f>
        <v>-172.52241451830074</v>
      </c>
      <c r="AM222" s="266" t="e">
        <f>(-IF($AL$9="",VLOOKUP(VLOOKUP(E222,'DB Basis'!$D$2:$H$65205,4,0),Bonds!$AR$1:$AS$6,2,0),$AL$9)*VLOOKUP(E222,'DB Basis'!$D$2:$E$65205,2,0))+IF(V222="",W222,V222)</f>
        <v>#N/A</v>
      </c>
      <c r="AN222" s="274" t="str">
        <f>IF($AN$9+(($AL$9-$AM$9))*('DB Basis'!F382/10-'DB Basis'!E382),," ")</f>
        <v xml:space="preserve"> </v>
      </c>
      <c r="AO222" s="639">
        <f>IF(U222&gt;0,_xll.xlShmImplSwap2(curveName&amp;T(TYPE($AV$1)),curveName,D222,G222,,1,8,2,4),"")</f>
        <v>6.1071347223739724E-3</v>
      </c>
      <c r="AP222" s="640">
        <f t="shared" si="29"/>
        <v>-1.7229036937954797E-2</v>
      </c>
      <c r="AQ222" s="386">
        <f t="shared" si="30"/>
        <v>-804.57640604350706</v>
      </c>
      <c r="AR222" s="386">
        <f t="shared" si="31"/>
        <v>-817.51286491695066</v>
      </c>
      <c r="AS222" s="388"/>
      <c r="AT222" s="242">
        <f t="shared" si="32"/>
        <v>-1.0969547390709853</v>
      </c>
      <c r="AU222" s="686" t="str">
        <f t="shared" si="27"/>
        <v>OAT  25-Jul-24  0.25</v>
      </c>
      <c r="AV222" s="702"/>
      <c r="AW222" s="684"/>
      <c r="AX222" s="684"/>
      <c r="AY222" s="684"/>
      <c r="AZ222" s="684"/>
      <c r="BA222" s="684"/>
      <c r="BB222" s="683"/>
      <c r="BC222" s="696"/>
      <c r="BE222" s="706">
        <f>_xll.xlDateShiftMonth(BE221,1)</f>
        <v>49610</v>
      </c>
      <c r="BF222" s="707">
        <v>2.5656709301986092E-2</v>
      </c>
      <c r="BU222" s="133" t="s">
        <v>599</v>
      </c>
      <c r="BV222" s="133" t="s">
        <v>599</v>
      </c>
      <c r="BW222" s="133" t="s">
        <v>599</v>
      </c>
      <c r="BX222" s="133" t="s">
        <v>599</v>
      </c>
      <c r="BY222" s="133" t="s">
        <v>599</v>
      </c>
      <c r="BZ222" s="133" t="s">
        <v>599</v>
      </c>
      <c r="CA222" s="133" t="s">
        <v>599</v>
      </c>
      <c r="CB222" s="133" t="s">
        <v>599</v>
      </c>
      <c r="CC222" s="133" t="s">
        <v>599</v>
      </c>
      <c r="CD222" s="133" t="s">
        <v>599</v>
      </c>
      <c r="CE222" s="133" t="s">
        <v>599</v>
      </c>
      <c r="CF222" s="133" t="s">
        <v>599</v>
      </c>
    </row>
    <row r="223" spans="1:84">
      <c r="A223" s="10"/>
      <c r="B223" s="11"/>
      <c r="C223" s="12"/>
      <c r="D223" s="720">
        <f>MAX(_xll.xlDateSettle("TARGET",$D$4,2),L223)</f>
        <v>43179</v>
      </c>
      <c r="E223" s="718" t="s">
        <v>417</v>
      </c>
      <c r="F223" s="13" t="s">
        <v>1518</v>
      </c>
      <c r="G223" s="35">
        <v>45621</v>
      </c>
      <c r="H223" s="37">
        <v>1.75</v>
      </c>
      <c r="I223" s="11">
        <v>45621</v>
      </c>
      <c r="J223" s="11">
        <v>41603</v>
      </c>
      <c r="K223" s="11">
        <v>41968</v>
      </c>
      <c r="L223" s="11">
        <v>41800</v>
      </c>
      <c r="M223" s="12">
        <v>98.01</v>
      </c>
      <c r="N223" s="12" t="s">
        <v>1577</v>
      </c>
      <c r="O223" s="12" t="s">
        <v>1178</v>
      </c>
      <c r="P223" s="12" t="s">
        <v>1578</v>
      </c>
      <c r="Q223" s="15">
        <v>36026000000</v>
      </c>
      <c r="R223" s="12"/>
      <c r="S223" s="43">
        <f>_xll.RtGet("IDN",$X223,$S$9)</f>
        <v>109.43</v>
      </c>
      <c r="T223" s="43">
        <f>_xll.RtGet("IDN",$X223,$T$9)</f>
        <v>109.47</v>
      </c>
      <c r="U223" s="25">
        <f t="shared" si="33"/>
        <v>109.45</v>
      </c>
      <c r="V223" s="12"/>
      <c r="W223" s="25">
        <f t="shared" si="34"/>
        <v>109.45</v>
      </c>
      <c r="X223" s="14" t="str">
        <f t="shared" si="28"/>
        <v>FR0011962398=</v>
      </c>
      <c r="Y223" s="14"/>
      <c r="Z223" s="14"/>
      <c r="AA223" s="14"/>
      <c r="AB223" s="14"/>
      <c r="AC223" s="14"/>
      <c r="AD223" s="34">
        <f>IF(ISNUMBER($D223),_xll.xlBondYield($F223,$H223,$G223,$J223,$K223,$L223,$M223,$D223,$W223,IF(NOT($H223),TRUE,FALSE)),"")</f>
        <v>3.189603146302445E-3</v>
      </c>
      <c r="AE223" s="12"/>
      <c r="AF223" s="12"/>
      <c r="AG223" s="12"/>
      <c r="AH223" s="14"/>
      <c r="AI223" s="14"/>
      <c r="AJ223" s="14"/>
      <c r="AK223" s="246">
        <f>IF(ISNUMBER($D223),_xll.xlBondAswSpread($F223&amp;T(TYPE($AV$1)),$H223,$G223,$J223,$K223,$L223,$M223,$D223,$W223,IF(NOT($H223),TRUE,FALSE),curveName,curveName,,,2),"")</f>
        <v>-0.33307647634760612</v>
      </c>
      <c r="AL223" s="213">
        <f>IF($W223&gt;0,_xll.xlBondZSpread(F223&amp;T(TYPE($AV$1)),H223,G223,J223,K223,L223,M223,D223,U223,"annual",5,IF(NOT($H223),TRUE,FALSE),curveName)*100,"")</f>
        <v>-32.389325839340749</v>
      </c>
      <c r="AM223" s="266">
        <f>(-IF($AL$9="",VLOOKUP(VLOOKUP(E223,'DB Basis'!$D$2:$H$65205,4,0),Bonds!$AR$1:$AS$6,2,0),$AL$9)*VLOOKUP(E223,'DB Basis'!$D$2:$E$65205,2,0))+IF(V223="",W223,V223)</f>
        <v>-34.401155000000003</v>
      </c>
      <c r="AN223" s="274" t="str">
        <f>IF($AN$9+(($AL$9-$AM$9))*('DB Basis'!F383/10-'DB Basis'!E383),," ")</f>
        <v xml:space="preserve"> </v>
      </c>
      <c r="AO223" s="639">
        <f>IF(U223&gt;0,_xll.xlShmImplSwap2(curveName&amp;T(TYPE($AV$1)),curveName,D223,G223,,1,8,2,4),"")</f>
        <v>6.559084534392432E-3</v>
      </c>
      <c r="AP223" s="640">
        <f t="shared" si="29"/>
        <v>-3.3694813880899869E-3</v>
      </c>
      <c r="AQ223" s="386">
        <f t="shared" si="30"/>
        <v>424.69101277133279</v>
      </c>
      <c r="AR223" s="386">
        <f t="shared" si="31"/>
        <v>411.27949395940283</v>
      </c>
      <c r="AS223" s="388"/>
      <c r="AT223" s="242">
        <f t="shared" si="32"/>
        <v>0.314590995251748</v>
      </c>
      <c r="AU223" s="686" t="str">
        <f t="shared" si="27"/>
        <v>OAT  25-Nov-24  1.75</v>
      </c>
      <c r="AV223" s="702"/>
      <c r="AW223" s="684"/>
      <c r="AX223" s="684"/>
      <c r="AY223" s="684"/>
      <c r="AZ223" s="684"/>
      <c r="BA223" s="684"/>
      <c r="BB223" s="683"/>
      <c r="BC223" s="696"/>
      <c r="BE223" s="706">
        <f>_xll.xlDateShiftMonth(BE222,1)</f>
        <v>49641</v>
      </c>
      <c r="BF223" s="707">
        <v>2.56937544999572E-2</v>
      </c>
      <c r="BU223" s="133" t="s">
        <v>599</v>
      </c>
      <c r="BV223" s="133" t="s">
        <v>599</v>
      </c>
      <c r="BW223" s="133" t="s">
        <v>599</v>
      </c>
      <c r="BX223" s="133" t="s">
        <v>599</v>
      </c>
      <c r="BY223" s="133" t="s">
        <v>599</v>
      </c>
      <c r="BZ223" s="133" t="s">
        <v>599</v>
      </c>
      <c r="CA223" s="133" t="s">
        <v>599</v>
      </c>
      <c r="CB223" s="133" t="s">
        <v>599</v>
      </c>
      <c r="CC223" s="133" t="s">
        <v>599</v>
      </c>
      <c r="CD223" s="133" t="s">
        <v>599</v>
      </c>
      <c r="CE223" s="133" t="s">
        <v>599</v>
      </c>
      <c r="CF223" s="133" t="s">
        <v>599</v>
      </c>
    </row>
    <row r="224" spans="1:84">
      <c r="A224" s="10"/>
      <c r="B224" s="11"/>
      <c r="C224" s="12"/>
      <c r="D224" s="720">
        <f>MAX(_xll.xlDateSettle("TARGET",$D$4,2),L224)</f>
        <v>43179</v>
      </c>
      <c r="E224" s="718" t="s">
        <v>583</v>
      </c>
      <c r="F224" s="13" t="s">
        <v>1518</v>
      </c>
      <c r="G224" s="35">
        <v>45802</v>
      </c>
      <c r="H224" s="37">
        <v>0.5</v>
      </c>
      <c r="I224" s="11">
        <v>45802</v>
      </c>
      <c r="J224" s="11">
        <v>41784</v>
      </c>
      <c r="K224" s="11">
        <v>42149</v>
      </c>
      <c r="L224" s="11">
        <v>42044</v>
      </c>
      <c r="M224" s="12">
        <v>98.87</v>
      </c>
      <c r="N224" s="12" t="s">
        <v>1579</v>
      </c>
      <c r="O224" s="12" t="s">
        <v>1197</v>
      </c>
      <c r="P224" s="12" t="s">
        <v>1580</v>
      </c>
      <c r="Q224" s="15">
        <v>35815000000</v>
      </c>
      <c r="R224" s="12"/>
      <c r="S224" s="43">
        <f>_xll.RtGet("IDN",$X224,$S$9)</f>
        <v>100.693</v>
      </c>
      <c r="T224" s="43">
        <f>_xll.RtGet("IDN",$X224,$T$9)</f>
        <v>100.773</v>
      </c>
      <c r="U224" s="25">
        <f t="shared" si="33"/>
        <v>100.733</v>
      </c>
      <c r="V224" s="12"/>
      <c r="W224" s="25">
        <f t="shared" si="34"/>
        <v>100.733</v>
      </c>
      <c r="X224" s="14" t="str">
        <f t="shared" si="28"/>
        <v>FR0012517027=</v>
      </c>
      <c r="Y224" s="14"/>
      <c r="Z224" s="14"/>
      <c r="AA224" s="14"/>
      <c r="AB224" s="14"/>
      <c r="AC224" s="14"/>
      <c r="AD224" s="34">
        <f>IF(ISNUMBER($D224),_xll.xlBondYield($F224,$H224,$G224,$J224,$K224,$L224,$M224,$D224,$W224,IF(NOT($H224),TRUE,FALSE)),"")</f>
        <v>3.9618270216977116E-3</v>
      </c>
      <c r="AE224" s="12"/>
      <c r="AF224" s="12"/>
      <c r="AG224" s="12"/>
      <c r="AH224" s="14"/>
      <c r="AI224" s="14"/>
      <c r="AJ224" s="14"/>
      <c r="AK224" s="758">
        <f>IF(ISNUMBER($D224),_xll.xlBondAswSpread($F224&amp;T(TYPE($AV$1)),$H224,$G224,$J224,$K224,$L224,$M224,$D224,$W224,IF(NOT($H224),TRUE,FALSE),curveName,curveName,,,2),"")</f>
        <v>-0.31815894443916093</v>
      </c>
      <c r="AL224" s="213">
        <f>IF($W224&gt;0,_xll.xlBondZSpread(F224&amp;T(TYPE($AV$1)),H224,G224,J224,K224,L224,M224,D224,U224,"annual",5,IF(NOT($H224),TRUE,FALSE),curveName)*100,"")</f>
        <v>-32.558867035624296</v>
      </c>
      <c r="AM224" s="266">
        <f>(-IF($AL$9="",VLOOKUP(VLOOKUP(E224,'DB Basis'!$D$2:$H$65205,4,0),Bonds!$AR$1:$AS$6,2,0),$AL$9)*VLOOKUP(E224,'DB Basis'!$D$2:$E$65205,2,0))+IF(V224="",W224,V224)</f>
        <v>18.228270000000009</v>
      </c>
      <c r="AN224" s="274" t="str">
        <f>IF($AN$9+(($AL$9-$AM$9))*('DB Basis'!F384/10-'DB Basis'!E384),," ")</f>
        <v xml:space="preserve"> </v>
      </c>
      <c r="AO224" s="639">
        <f>IF(U224&gt;0,_xll.xlShmImplSwap2(curveName&amp;T(TYPE($AV$1)),curveName,D224,G224,,1,8,2,4),"")</f>
        <v>7.1917438862982401E-3</v>
      </c>
      <c r="AP224" s="640">
        <f t="shared" si="29"/>
        <v>-3.2299168646005285E-3</v>
      </c>
      <c r="AQ224" s="386">
        <f t="shared" si="30"/>
        <v>15.572470415429409</v>
      </c>
      <c r="AR224" s="386">
        <f t="shared" si="31"/>
        <v>2.8144227112515088</v>
      </c>
      <c r="AS224" s="388"/>
      <c r="AT224" s="242">
        <f t="shared" si="32"/>
        <v>0.39075554186607564</v>
      </c>
      <c r="AU224" s="686" t="str">
        <f t="shared" si="27"/>
        <v>OAT  25-May-25  0.5</v>
      </c>
      <c r="AV224" s="702"/>
      <c r="AW224" s="684"/>
      <c r="AX224" s="684"/>
      <c r="AY224" s="684"/>
      <c r="AZ224" s="684"/>
      <c r="BA224" s="684"/>
      <c r="BB224" s="683"/>
      <c r="BC224" s="696"/>
      <c r="BE224" s="706">
        <f>_xll.xlDateShiftMonth(BE223,1)</f>
        <v>49671</v>
      </c>
      <c r="BF224" s="707">
        <v>2.572932602160646E-2</v>
      </c>
      <c r="BU224" s="133" t="s">
        <v>599</v>
      </c>
      <c r="BV224" s="133" t="s">
        <v>599</v>
      </c>
      <c r="BW224" s="133" t="s">
        <v>599</v>
      </c>
      <c r="BX224" s="133" t="s">
        <v>599</v>
      </c>
      <c r="BY224" s="133" t="s">
        <v>599</v>
      </c>
      <c r="BZ224" s="133" t="s">
        <v>599</v>
      </c>
      <c r="CA224" s="133" t="s">
        <v>599</v>
      </c>
      <c r="CB224" s="133" t="s">
        <v>599</v>
      </c>
      <c r="CC224" s="133" t="s">
        <v>599</v>
      </c>
      <c r="CD224" s="133" t="s">
        <v>599</v>
      </c>
      <c r="CE224" s="133" t="s">
        <v>599</v>
      </c>
      <c r="CF224" s="133" t="s">
        <v>599</v>
      </c>
    </row>
    <row r="225" spans="1:84">
      <c r="A225" s="10"/>
      <c r="B225" s="11"/>
      <c r="C225" s="12"/>
      <c r="D225" s="720">
        <f>MAX(_xll.xlDateSettle("TARGET",$D$4,2),L225)</f>
        <v>43179</v>
      </c>
      <c r="E225" s="718" t="s">
        <v>686</v>
      </c>
      <c r="F225" s="13" t="s">
        <v>1518</v>
      </c>
      <c r="G225" s="35">
        <v>45955</v>
      </c>
      <c r="H225" s="37">
        <v>6</v>
      </c>
      <c r="I225" s="11">
        <v>45955</v>
      </c>
      <c r="J225" s="11">
        <v>34267</v>
      </c>
      <c r="K225" s="11">
        <v>34632</v>
      </c>
      <c r="L225" s="11">
        <v>34390</v>
      </c>
      <c r="M225" s="12">
        <v>101.65</v>
      </c>
      <c r="N225" s="12" t="s">
        <v>1581</v>
      </c>
      <c r="O225" s="12" t="s">
        <v>1178</v>
      </c>
      <c r="P225" s="12" t="s">
        <v>1582</v>
      </c>
      <c r="Q225" s="15">
        <v>29593928118</v>
      </c>
      <c r="R225" s="12"/>
      <c r="S225" s="43">
        <f>_xll.RtGet("IDN",$X225,$S$9)</f>
        <v>142.01599999999999</v>
      </c>
      <c r="T225" s="43">
        <f>_xll.RtGet("IDN",$X225,$T$9)</f>
        <v>142.07599999999999</v>
      </c>
      <c r="U225" s="25">
        <f t="shared" si="33"/>
        <v>142.04599999999999</v>
      </c>
      <c r="V225" s="12"/>
      <c r="W225" s="25">
        <f t="shared" si="34"/>
        <v>142.04599999999999</v>
      </c>
      <c r="X225" s="14" t="str">
        <f t="shared" si="28"/>
        <v>FR0000571150=</v>
      </c>
      <c r="Y225" s="14"/>
      <c r="Z225" s="14"/>
      <c r="AA225" s="14"/>
      <c r="AB225" s="14"/>
      <c r="AC225" s="14"/>
      <c r="AD225" s="34">
        <f>IF(ISNUMBER($D225),_xll.xlBondYield($F225,$H225,$G225,$J225,$K225,$L225,$M225,$D225,$W225,IF(NOT($H225),TRUE,FALSE)),"")</f>
        <v>3.7717157055426956E-3</v>
      </c>
      <c r="AE225" s="12"/>
      <c r="AF225" s="12"/>
      <c r="AG225" s="12"/>
      <c r="AH225" s="14"/>
      <c r="AI225" s="14"/>
      <c r="AJ225" s="14"/>
      <c r="AK225" s="246">
        <f>IF(ISNUMBER($D225),_xll.xlBondAswSpread($F225&amp;T(TYPE($AV$1)),$H225,$G225,$J225,$K225,$L225,$M225,$D225,$W225,IF(NOT($H225),TRUE,FALSE),curveName,curveName,,,2),"")</f>
        <v>-0.40068755245637233</v>
      </c>
      <c r="AL225" s="213">
        <f>IF($W225&gt;0,_xll.xlBondZSpread(F225&amp;T(TYPE($AV$1)),H225,G225,J225,K225,L225,M225,D225,U225,"annual",5,IF(NOT($H225),TRUE,FALSE),curveName)*100,"")</f>
        <v>-33.243953815034914</v>
      </c>
      <c r="AM225" s="266">
        <f>(-IF($AL$9="",VLOOKUP(VLOOKUP(E225,'DB Basis'!$D$2:$H$65205,4,0),Bonds!$AR$1:$AS$6,2,0),$AL$9)*VLOOKUP(E225,'DB Basis'!$D$2:$E$65205,2,0))+IF(V225="",W225,V225)</f>
        <v>34.284720000000007</v>
      </c>
      <c r="AN225" s="274" t="str">
        <f>IF($AN$9+(($AL$9-$AM$9))*('DB Basis'!F385/10-'DB Basis'!E385),," ")</f>
        <v xml:space="preserve"> </v>
      </c>
      <c r="AO225" s="639">
        <f>IF(U225&gt;0,_xll.xlShmImplSwap2(curveName&amp;T(TYPE($AV$1)),curveName,D225,G225,,1,8,2,4),"")</f>
        <v>7.6963659992255861E-3</v>
      </c>
      <c r="AP225" s="640">
        <f t="shared" si="29"/>
        <v>-3.9246502936828905E-3</v>
      </c>
      <c r="AQ225" s="386">
        <f t="shared" si="30"/>
        <v>-4.5353353200379631</v>
      </c>
      <c r="AR225" s="386">
        <f t="shared" si="31"/>
        <v>-16.573705987912557</v>
      </c>
      <c r="AS225" s="388"/>
      <c r="AT225" s="242">
        <f t="shared" si="32"/>
        <v>0.37200483671106038</v>
      </c>
      <c r="AU225" s="686" t="str">
        <f t="shared" si="27"/>
        <v>OAT  25-Oct-25  6</v>
      </c>
      <c r="AV225" s="702"/>
      <c r="AW225" s="684"/>
      <c r="AX225" s="684"/>
      <c r="AY225" s="684"/>
      <c r="AZ225" s="684"/>
      <c r="BA225" s="684"/>
      <c r="BB225" s="683"/>
      <c r="BC225" s="696"/>
      <c r="BE225" s="706">
        <f>_xll.xlDateShiftMonth(BE224,1)</f>
        <v>49702</v>
      </c>
      <c r="BF225" s="707">
        <v>2.5765815774834049E-2</v>
      </c>
      <c r="BU225" s="133" t="s">
        <v>599</v>
      </c>
      <c r="BV225" s="133" t="s">
        <v>599</v>
      </c>
      <c r="BW225" s="133" t="s">
        <v>599</v>
      </c>
      <c r="BX225" s="133" t="s">
        <v>599</v>
      </c>
      <c r="BY225" s="133" t="s">
        <v>599</v>
      </c>
      <c r="BZ225" s="133" t="s">
        <v>599</v>
      </c>
      <c r="CA225" s="133" t="s">
        <v>599</v>
      </c>
      <c r="CB225" s="133" t="s">
        <v>599</v>
      </c>
      <c r="CC225" s="133" t="s">
        <v>599</v>
      </c>
      <c r="CD225" s="133" t="s">
        <v>599</v>
      </c>
      <c r="CE225" s="133" t="s">
        <v>599</v>
      </c>
      <c r="CF225" s="133" t="s">
        <v>599</v>
      </c>
    </row>
    <row r="226" spans="1:84">
      <c r="A226" s="10"/>
      <c r="B226" s="11"/>
      <c r="C226" s="12"/>
      <c r="D226" s="720">
        <f>MAX(_xll.xlDateSettle("TARGET",$D$4,2),L226)</f>
        <v>43179</v>
      </c>
      <c r="E226" s="718" t="s">
        <v>765</v>
      </c>
      <c r="F226" s="13" t="s">
        <v>1518</v>
      </c>
      <c r="G226" s="35">
        <v>45986</v>
      </c>
      <c r="H226" s="37">
        <v>1</v>
      </c>
      <c r="I226" s="11">
        <v>45986</v>
      </c>
      <c r="J226" s="11">
        <v>41968</v>
      </c>
      <c r="K226" s="11">
        <v>42333</v>
      </c>
      <c r="L226" s="11">
        <v>42254</v>
      </c>
      <c r="M226" s="12">
        <v>98.02</v>
      </c>
      <c r="N226" s="12" t="s">
        <v>1583</v>
      </c>
      <c r="O226" s="12" t="s">
        <v>1178</v>
      </c>
      <c r="P226" s="12" t="s">
        <v>1584</v>
      </c>
      <c r="Q226" s="15">
        <v>28307000000</v>
      </c>
      <c r="R226" s="12"/>
      <c r="S226" s="43">
        <f>_xll.RtGet("IDN",$X226,$S$9)</f>
        <v>104.033</v>
      </c>
      <c r="T226" s="43">
        <f>_xll.RtGet("IDN",$X226,$T$9)</f>
        <v>104.113</v>
      </c>
      <c r="U226" s="25">
        <f t="shared" si="33"/>
        <v>104.07300000000001</v>
      </c>
      <c r="V226" s="12"/>
      <c r="W226" s="25">
        <f t="shared" si="34"/>
        <v>104.07300000000001</v>
      </c>
      <c r="X226" s="14" t="str">
        <f t="shared" si="28"/>
        <v>FR0012938116=</v>
      </c>
      <c r="Y226" s="14"/>
      <c r="Z226" s="14"/>
      <c r="AA226" s="14"/>
      <c r="AB226" s="14"/>
      <c r="AC226" s="14"/>
      <c r="AD226" s="34">
        <f>IF(ISNUMBER($D226),_xll.xlBondYield($F226,$H226,$G226,$J226,$K226,$L226,$M226,$D226,$W226,IF(NOT($H226),TRUE,FALSE)),"")</f>
        <v>4.5932003903146387E-3</v>
      </c>
      <c r="AE226" s="12"/>
      <c r="AF226" s="12"/>
      <c r="AG226" s="12"/>
      <c r="AH226" s="14"/>
      <c r="AI226" s="14"/>
      <c r="AJ226" s="14"/>
      <c r="AK226" s="246">
        <f>IF(ISNUMBER($D226),_xll.xlBondAswSpread($F226&amp;T(TYPE($AV$1)),$H226,$G226,$J226,$K226,$L226,$M226,$D226,$W226,IF(NOT($H226),TRUE,FALSE),curveName,curveName,,,2),"")</f>
        <v>-0.31428702735283048</v>
      </c>
      <c r="AL226" s="213">
        <f>IF($W226&gt;0,_xll.xlBondZSpread(F226&amp;T(TYPE($AV$1)),H226,G226,J226,K226,L226,M226,D226,U226,"annual",5,IF(NOT($H226),TRUE,FALSE),curveName)*100,"")</f>
        <v>-31.608137756924059</v>
      </c>
      <c r="AM226" s="266">
        <f>(-IF($AL$9="",VLOOKUP(VLOOKUP(E226,'DB Basis'!$D$2:$H$65205,4,0),Bonds!$AR$1:$AS$6,2,0),$AL$9)*VLOOKUP(E226,'DB Basis'!$D$2:$E$65205,2,0))+IF(V226="",W226,V226)</f>
        <v>14.680120000000016</v>
      </c>
      <c r="AN226" s="274" t="str">
        <f>IF($AN$9+(($AL$9-$AM$9))*('DB Basis'!F386/10-'DB Basis'!E386),," ")</f>
        <v xml:space="preserve"> </v>
      </c>
      <c r="AO226" s="639">
        <f>IF(U226&gt;0,_xll.xlShmImplSwap2(curveName&amp;T(TYPE($AV$1)),curveName,D226,G226,,1,8,2,4),"")</f>
        <v>7.7931285531046193E-3</v>
      </c>
      <c r="AP226" s="640">
        <f t="shared" si="29"/>
        <v>-3.1999281627899806E-3</v>
      </c>
      <c r="AQ226" s="386">
        <f t="shared" si="30"/>
        <v>96.723196755406207</v>
      </c>
      <c r="AR226" s="386">
        <f t="shared" si="31"/>
        <v>85.330186379326491</v>
      </c>
      <c r="AS226" s="388"/>
      <c r="AT226" s="242">
        <f t="shared" si="32"/>
        <v>0.45302798370226566</v>
      </c>
      <c r="AU226" s="686" t="str">
        <f t="shared" si="27"/>
        <v>OAT  25-Nov-25  1</v>
      </c>
      <c r="AV226" s="702"/>
      <c r="AW226" s="684"/>
      <c r="AX226" s="684"/>
      <c r="AY226" s="684"/>
      <c r="AZ226" s="684"/>
      <c r="BA226" s="684"/>
      <c r="BB226" s="683"/>
      <c r="BC226" s="696"/>
      <c r="BE226" s="706">
        <f>_xll.xlDateShiftMonth(BE225,1)</f>
        <v>49733</v>
      </c>
      <c r="BF226" s="707">
        <v>2.5802054465986914E-2</v>
      </c>
      <c r="BU226" s="133" t="s">
        <v>599</v>
      </c>
      <c r="BV226" s="133" t="s">
        <v>599</v>
      </c>
      <c r="BW226" s="133" t="s">
        <v>599</v>
      </c>
      <c r="BX226" s="133" t="s">
        <v>599</v>
      </c>
      <c r="BY226" s="133" t="s">
        <v>599</v>
      </c>
      <c r="BZ226" s="133" t="s">
        <v>599</v>
      </c>
      <c r="CA226" s="133" t="s">
        <v>599</v>
      </c>
      <c r="CB226" s="133" t="s">
        <v>599</v>
      </c>
      <c r="CC226" s="133" t="s">
        <v>599</v>
      </c>
      <c r="CD226" s="133" t="s">
        <v>599</v>
      </c>
      <c r="CE226" s="133" t="s">
        <v>599</v>
      </c>
      <c r="CF226" s="133" t="s">
        <v>599</v>
      </c>
    </row>
    <row r="227" spans="1:84">
      <c r="A227" s="10"/>
      <c r="B227" s="11"/>
      <c r="C227" s="12"/>
      <c r="D227" s="720">
        <f>MAX(_xll.xlDateSettle("TARGET",$D$4,2),L227)</f>
        <v>43179</v>
      </c>
      <c r="E227" s="718" t="s">
        <v>687</v>
      </c>
      <c r="F227" s="13" t="s">
        <v>1518</v>
      </c>
      <c r="G227" s="35">
        <v>46137</v>
      </c>
      <c r="H227" s="37">
        <v>3.5</v>
      </c>
      <c r="I227" s="11">
        <v>46137</v>
      </c>
      <c r="J227" s="11">
        <v>40293</v>
      </c>
      <c r="K227" s="11">
        <v>40658</v>
      </c>
      <c r="L227" s="11">
        <v>40365</v>
      </c>
      <c r="M227" s="12">
        <v>110.94</v>
      </c>
      <c r="N227" s="12" t="s">
        <v>1585</v>
      </c>
      <c r="O227" s="12" t="s">
        <v>1178</v>
      </c>
      <c r="P227" s="12" t="s">
        <v>1586</v>
      </c>
      <c r="Q227" s="15">
        <v>35814000000</v>
      </c>
      <c r="R227" s="12"/>
      <c r="S227" s="43">
        <f>_xll.RtGet("IDN",$X227,$S$9)</f>
        <v>124.075</v>
      </c>
      <c r="T227" s="43">
        <f>_xll.RtGet("IDN",$X227,$T$9)</f>
        <v>124.13500000000001</v>
      </c>
      <c r="U227" s="25">
        <f t="shared" si="33"/>
        <v>124.105</v>
      </c>
      <c r="V227" s="12"/>
      <c r="W227" s="25">
        <f t="shared" si="34"/>
        <v>124.105</v>
      </c>
      <c r="X227" s="14" t="str">
        <f t="shared" si="28"/>
        <v>FR0010916924=</v>
      </c>
      <c r="Y227" s="14"/>
      <c r="Z227" s="14"/>
      <c r="AA227" s="14"/>
      <c r="AB227" s="14"/>
      <c r="AC227" s="14"/>
      <c r="AD227" s="34">
        <f>IF(ISNUMBER($D227),_xll.xlBondYield($F227,$H227,$G227,$J227,$K227,$L227,$M227,$D227,$W227,IF(NOT($H227),TRUE,FALSE)),"")</f>
        <v>4.6072926795605491E-3</v>
      </c>
      <c r="AE227" s="12"/>
      <c r="AF227" s="12"/>
      <c r="AG227" s="12"/>
      <c r="AH227" s="14"/>
      <c r="AI227" s="14"/>
      <c r="AJ227" s="14"/>
      <c r="AK227" s="246">
        <f>IF(ISNUMBER($D227),_xll.xlBondAswSpread($F227&amp;T(TYPE($AV$1)),$H227,$G227,$J227,$K227,$L227,$M227,$D227,$W227,IF(NOT($H227),TRUE,FALSE),curveName,curveName,,,2),"")</f>
        <v>-0.36440948877738838</v>
      </c>
      <c r="AL227" s="213">
        <f>IF($W227&gt;0,_xll.xlBondZSpread(F227&amp;T(TYPE($AV$1)),H227,G227,J227,K227,L227,M227,D227,U227,"annual",5,IF(NOT($H227),TRUE,FALSE),curveName)*100,"")</f>
        <v>-33.0570998189025</v>
      </c>
      <c r="AM227" s="266">
        <f>(-IF($AL$9="",VLOOKUP(VLOOKUP(E227,'DB Basis'!$D$2:$H$65205,4,0),Bonds!$AR$1:$AS$6,2,0),$AL$9)*VLOOKUP(E227,'DB Basis'!$D$2:$E$65205,2,0))+IF(V227="",W227,V227)</f>
        <v>19.558189999999996</v>
      </c>
      <c r="AN227" s="274" t="str">
        <f>IF($AN$9+(($AL$9-$AM$9))*('DB Basis'!F387/10-'DB Basis'!E387),," ")</f>
        <v xml:space="preserve"> </v>
      </c>
      <c r="AO227" s="639">
        <f>IF(U227&gt;0,_xll.xlShmImplSwap2(curveName&amp;T(TYPE($AV$1)),curveName,D227,G227,,1,8,2,4),"")</f>
        <v>8.2735566104571862E-3</v>
      </c>
      <c r="AP227" s="640">
        <f t="shared" si="29"/>
        <v>-3.666263930896637E-3</v>
      </c>
      <c r="AQ227" s="386">
        <f t="shared" si="30"/>
        <v>0.34064142879187587</v>
      </c>
      <c r="AR227" s="386">
        <f t="shared" si="31"/>
        <v>-11.272354659531761</v>
      </c>
      <c r="AS227" s="388"/>
      <c r="AT227" s="242">
        <f t="shared" si="32"/>
        <v>0.45441790812104044</v>
      </c>
      <c r="AU227" s="686" t="str">
        <f t="shared" si="27"/>
        <v>OAT  25-Apr-26  3.5</v>
      </c>
      <c r="AV227" s="702"/>
      <c r="AW227" s="684"/>
      <c r="AX227" s="684"/>
      <c r="AY227" s="684"/>
      <c r="AZ227" s="684"/>
      <c r="BA227" s="684"/>
      <c r="BB227" s="683"/>
      <c r="BC227" s="696"/>
      <c r="BE227" s="706">
        <f>_xll.xlDateShiftMonth(BE226,1)</f>
        <v>49762</v>
      </c>
      <c r="BF227" s="707">
        <v>2.5835746522359711E-2</v>
      </c>
      <c r="BU227" s="133" t="s">
        <v>599</v>
      </c>
      <c r="BV227" s="133" t="s">
        <v>599</v>
      </c>
      <c r="BW227" s="133" t="s">
        <v>599</v>
      </c>
      <c r="BX227" s="133" t="s">
        <v>599</v>
      </c>
      <c r="BY227" s="133" t="s">
        <v>599</v>
      </c>
      <c r="BZ227" s="133" t="s">
        <v>599</v>
      </c>
      <c r="CA227" s="133" t="s">
        <v>599</v>
      </c>
      <c r="CB227" s="133" t="s">
        <v>599</v>
      </c>
      <c r="CC227" s="133" t="s">
        <v>599</v>
      </c>
      <c r="CD227" s="133" t="s">
        <v>599</v>
      </c>
      <c r="CE227" s="133" t="s">
        <v>599</v>
      </c>
      <c r="CF227" s="133" t="s">
        <v>599</v>
      </c>
    </row>
    <row r="228" spans="1:84">
      <c r="A228" s="10"/>
      <c r="B228" s="11"/>
      <c r="C228" s="12"/>
      <c r="D228" s="720">
        <f>MAX(_xll.xlDateSettle("TARGET",$D$4,2),L228)</f>
        <v>43179</v>
      </c>
      <c r="E228" s="718" t="s">
        <v>858</v>
      </c>
      <c r="F228" s="13" t="s">
        <v>1518</v>
      </c>
      <c r="G228" s="35">
        <v>46167</v>
      </c>
      <c r="H228" s="37">
        <v>0.5</v>
      </c>
      <c r="I228" s="11">
        <v>46167</v>
      </c>
      <c r="J228" s="11">
        <v>42149</v>
      </c>
      <c r="K228" s="11">
        <v>42515</v>
      </c>
      <c r="L228" s="11">
        <v>42436</v>
      </c>
      <c r="M228" s="12">
        <v>98.69</v>
      </c>
      <c r="N228" s="12" t="s">
        <v>1587</v>
      </c>
      <c r="O228" s="12" t="s">
        <v>1197</v>
      </c>
      <c r="P228" s="12" t="s">
        <v>1588</v>
      </c>
      <c r="Q228" s="15">
        <v>29476000000</v>
      </c>
      <c r="R228" s="12"/>
      <c r="S228" s="43">
        <f>_xll.RtGet("IDN",$X228,$S$9)</f>
        <v>99.662000000000006</v>
      </c>
      <c r="T228" s="43">
        <f>_xll.RtGet("IDN",$X228,$T$9)</f>
        <v>99.715000000000003</v>
      </c>
      <c r="U228" s="25">
        <f t="shared" si="33"/>
        <v>99.688500000000005</v>
      </c>
      <c r="V228" s="12"/>
      <c r="W228" s="25">
        <f t="shared" si="34"/>
        <v>99.688500000000005</v>
      </c>
      <c r="X228" s="14" t="str">
        <f t="shared" si="28"/>
        <v>FR0013131877=</v>
      </c>
      <c r="Y228" s="14"/>
      <c r="Z228" s="14"/>
      <c r="AA228" s="14"/>
      <c r="AB228" s="14"/>
      <c r="AC228" s="14"/>
      <c r="AD228" s="34">
        <f>IF(ISNUMBER($D228),_xll.xlBondYield($F228,$H228,$G228,$J228,$K228,$L228,$M228,$D228,$W228,IF(NOT($H228),TRUE,FALSE)),"")</f>
        <v>5.3894850211968015E-3</v>
      </c>
      <c r="AE228" s="12"/>
      <c r="AF228" s="12"/>
      <c r="AG228" s="12"/>
      <c r="AH228" s="14"/>
      <c r="AI228" s="14"/>
      <c r="AJ228" s="14"/>
      <c r="AK228" s="246">
        <f>IF(ISNUMBER($D228),_xll.xlBondAswSpread($F228&amp;T(TYPE($AV$1)),$H228,$G228,$J228,$K228,$L228,$M228,$D228,$W228,IF(NOT($H228),TRUE,FALSE),curveName,curveName,,,2),"")</f>
        <v>-0.29179170365053803</v>
      </c>
      <c r="AL228" s="213">
        <f>IF($W228&gt;0,_xll.xlBondZSpread(F228&amp;T(TYPE($AV$1)),H228,G228,J228,K228,L228,M228,D228,U228,"annual",5,IF(NOT($H228),TRUE,FALSE),curveName)*100,"")</f>
        <v>-30.1338918876747</v>
      </c>
      <c r="AM228" s="266">
        <f>(-IF($AL$9="",VLOOKUP(VLOOKUP(E228,'DB Basis'!$D$2:$H$65205,4,0),Bonds!$AR$1:$AS$6,2,0),$AL$9)*VLOOKUP(E228,'DB Basis'!$D$2:$E$65205,2,0))+IF(V228="",W228,V228)</f>
        <v>7.3872900000000072</v>
      </c>
      <c r="AN228" s="274" t="str">
        <f>IF($AN$9+(($AL$9-$AM$9))*('DB Basis'!F388/10-'DB Basis'!E388),," ")</f>
        <v xml:space="preserve"> </v>
      </c>
      <c r="AO228" s="639">
        <f>IF(U228&gt;0,_xll.xlShmImplSwap2(curveName&amp;T(TYPE($AV$1)),curveName,D228,G228,,1,8,2,4),"")</f>
        <v>8.3537501230733936E-3</v>
      </c>
      <c r="AP228" s="640">
        <f t="shared" si="29"/>
        <v>-2.964265101876592E-3</v>
      </c>
      <c r="AQ228" s="386">
        <f t="shared" si="30"/>
        <v>95.166734899077369</v>
      </c>
      <c r="AR228" s="386">
        <f t="shared" si="31"/>
        <v>85.409857530772143</v>
      </c>
      <c r="AS228" s="388"/>
      <c r="AT228" s="242">
        <f t="shared" si="32"/>
        <v>0.53156564592625988</v>
      </c>
      <c r="AU228" s="686" t="str">
        <f t="shared" si="27"/>
        <v>OAT  25-May-26  0.5</v>
      </c>
      <c r="AV228" s="702"/>
      <c r="AW228" s="684"/>
      <c r="AX228" s="684"/>
      <c r="AY228" s="684"/>
      <c r="AZ228" s="684"/>
      <c r="BA228" s="684"/>
      <c r="BB228" s="683"/>
      <c r="BC228" s="696"/>
      <c r="BE228" s="706">
        <f>_xll.xlDateShiftMonth(BE227,1)</f>
        <v>49793</v>
      </c>
      <c r="BF228" s="707">
        <v>2.5871559042754524E-2</v>
      </c>
      <c r="BU228" s="133" t="s">
        <v>599</v>
      </c>
      <c r="BV228" s="133" t="s">
        <v>599</v>
      </c>
      <c r="BW228" s="133" t="s">
        <v>599</v>
      </c>
      <c r="BX228" s="133" t="s">
        <v>599</v>
      </c>
      <c r="BY228" s="133" t="s">
        <v>599</v>
      </c>
      <c r="BZ228" s="133" t="s">
        <v>599</v>
      </c>
      <c r="CA228" s="133" t="s">
        <v>599</v>
      </c>
      <c r="CB228" s="133" t="s">
        <v>599</v>
      </c>
      <c r="CC228" s="133" t="s">
        <v>599</v>
      </c>
      <c r="CD228" s="133" t="s">
        <v>599</v>
      </c>
      <c r="CE228" s="133" t="s">
        <v>599</v>
      </c>
      <c r="CF228" s="133" t="s">
        <v>599</v>
      </c>
    </row>
    <row r="229" spans="1:84">
      <c r="A229" s="10"/>
      <c r="B229" s="11"/>
      <c r="C229" s="12"/>
      <c r="D229" s="720">
        <f>MAX(_xll.xlDateSettle("TARGET",$D$4,2),L229)</f>
        <v>43179</v>
      </c>
      <c r="E229" s="718" t="s">
        <v>893</v>
      </c>
      <c r="F229" s="13" t="s">
        <v>1518</v>
      </c>
      <c r="G229" s="35">
        <v>46351</v>
      </c>
      <c r="H229" s="37">
        <v>0.25</v>
      </c>
      <c r="I229" s="11">
        <v>46351</v>
      </c>
      <c r="J229" s="11">
        <v>42333</v>
      </c>
      <c r="K229" s="11">
        <v>42699</v>
      </c>
      <c r="L229" s="11">
        <v>42618</v>
      </c>
      <c r="M229" s="12">
        <v>99.94</v>
      </c>
      <c r="N229" s="12" t="s">
        <v>1589</v>
      </c>
      <c r="O229" s="12" t="s">
        <v>1178</v>
      </c>
      <c r="P229" s="12" t="s">
        <v>1590</v>
      </c>
      <c r="Q229" s="15">
        <v>30214000000</v>
      </c>
      <c r="R229" s="12"/>
      <c r="S229" s="43">
        <f>_xll.RtGet("IDN",$X229,$S$9)</f>
        <v>96.847999999999999</v>
      </c>
      <c r="T229" s="43">
        <f>_xll.RtGet("IDN",$X229,$T$9)</f>
        <v>97.018000000000001</v>
      </c>
      <c r="U229" s="25">
        <f t="shared" si="33"/>
        <v>96.932999999999993</v>
      </c>
      <c r="V229" s="12"/>
      <c r="W229" s="25">
        <f t="shared" si="34"/>
        <v>96.932999999999993</v>
      </c>
      <c r="X229" s="14" t="str">
        <f t="shared" si="28"/>
        <v>FR0013200813=</v>
      </c>
      <c r="Y229" s="14"/>
      <c r="Z229" s="14"/>
      <c r="AA229" s="14"/>
      <c r="AB229" s="14"/>
      <c r="AC229" s="14"/>
      <c r="AD229" s="34">
        <f>IF(ISNUMBER($D229),_xll.xlBondYield($F229,$H229,$G229,$J229,$K229,$L229,$M229,$D229,$W229,IF(NOT($H229),TRUE,FALSE)),"")</f>
        <v>6.1366960726437405E-3</v>
      </c>
      <c r="AE229" s="12"/>
      <c r="AF229" s="12"/>
      <c r="AG229" s="12"/>
      <c r="AH229" s="14"/>
      <c r="AI229" s="14"/>
      <c r="AJ229" s="14"/>
      <c r="AK229" s="246">
        <f>IF(ISNUMBER($D229),_xll.xlBondAswSpread($F229&amp;T(TYPE($AV$1)),$H229,$G229,$J229,$K229,$L229,$M229,$D229,$W229,IF(NOT($H229),TRUE,FALSE),curveName,curveName,,,2),"")</f>
        <v>-0.27170531402141807</v>
      </c>
      <c r="AL229" s="213">
        <f>IF($W229&gt;0,_xll.xlBondZSpread(F229&amp;T(TYPE($AV$1)),H229,G229,J229,K229,L229,M229,D229,U229,"annual",5,IF(NOT($H229),TRUE,FALSE),curveName)*100,"")</f>
        <v>-28.550231482207543</v>
      </c>
      <c r="AM229" s="266">
        <f>(-IF($AL$9="",VLOOKUP(VLOOKUP(E229,'DB Basis'!$D$2:$H$65205,4,0),Bonds!$AR$1:$AS$6,2,0),$AL$9)*VLOOKUP(E229,'DB Basis'!$D$2:$E$65205,2,0))+IF(V229="",W229,V229)</f>
        <v>1.2642500000000041</v>
      </c>
      <c r="AN229" s="274" t="str">
        <f>IF($AN$9+(($AL$9-$AM$9))*('DB Basis'!F389/10-'DB Basis'!E389),," ")</f>
        <v xml:space="preserve"> </v>
      </c>
      <c r="AO229" s="639">
        <f>IF(U229&gt;0,_xll.xlShmImplSwap2(curveName&amp;T(TYPE($AV$1)),curveName,D229,G229,,1,8,2,4),"")</f>
        <v>8.8897751285125972E-3</v>
      </c>
      <c r="AP229" s="640">
        <f t="shared" si="29"/>
        <v>-2.7530790558688567E-3</v>
      </c>
      <c r="AQ229" s="386">
        <f t="shared" si="30"/>
        <v>14.822393140115908</v>
      </c>
      <c r="AR229" s="386">
        <f t="shared" si="31"/>
        <v>4.1892884126534451</v>
      </c>
      <c r="AS229" s="388"/>
      <c r="AT229" s="242">
        <f t="shared" si="32"/>
        <v>0.60526317428814969</v>
      </c>
      <c r="AU229" s="686" t="str">
        <f t="shared" si="27"/>
        <v>OAT  25-Nov-26  0.25</v>
      </c>
      <c r="AV229" s="702"/>
      <c r="AW229" s="684"/>
      <c r="AX229" s="684"/>
      <c r="AY229" s="684"/>
      <c r="AZ229" s="684"/>
      <c r="BA229" s="684"/>
      <c r="BB229" s="683"/>
      <c r="BC229" s="696"/>
      <c r="BE229" s="706">
        <f>_xll.xlDateShiftMonth(BE228,1)</f>
        <v>49823</v>
      </c>
      <c r="BF229" s="707">
        <v>2.5906035852699613E-2</v>
      </c>
      <c r="BU229" s="133" t="s">
        <v>599</v>
      </c>
      <c r="BV229" s="133" t="s">
        <v>599</v>
      </c>
      <c r="BW229" s="133" t="s">
        <v>599</v>
      </c>
      <c r="BX229" s="133" t="s">
        <v>599</v>
      </c>
      <c r="BY229" s="133" t="s">
        <v>599</v>
      </c>
      <c r="BZ229" s="133" t="s">
        <v>599</v>
      </c>
      <c r="CA229" s="133" t="s">
        <v>599</v>
      </c>
      <c r="CB229" s="133" t="s">
        <v>599</v>
      </c>
      <c r="CC229" s="133" t="s">
        <v>599</v>
      </c>
      <c r="CD229" s="133" t="s">
        <v>599</v>
      </c>
      <c r="CE229" s="133" t="s">
        <v>599</v>
      </c>
      <c r="CF229" s="133" t="s">
        <v>599</v>
      </c>
    </row>
    <row r="230" spans="1:84">
      <c r="A230" s="10"/>
      <c r="B230" s="11"/>
      <c r="C230" s="12"/>
      <c r="D230" s="720">
        <f>MAX(_xll.xlDateSettle("TARGET",$D$4,2),L230)</f>
        <v>43179</v>
      </c>
      <c r="E230" s="718" t="s">
        <v>935</v>
      </c>
      <c r="F230" s="13" t="s">
        <v>1518</v>
      </c>
      <c r="G230" s="35">
        <v>46532</v>
      </c>
      <c r="H230" s="37">
        <v>1</v>
      </c>
      <c r="I230" s="11">
        <v>46532</v>
      </c>
      <c r="J230" s="11">
        <v>42515</v>
      </c>
      <c r="K230" s="11">
        <v>42880</v>
      </c>
      <c r="L230" s="11">
        <v>42835</v>
      </c>
      <c r="M230" s="12">
        <v>100.29</v>
      </c>
      <c r="N230" s="12" t="s">
        <v>1591</v>
      </c>
      <c r="O230" s="12" t="s">
        <v>1197</v>
      </c>
      <c r="P230" s="12" t="s">
        <v>1592</v>
      </c>
      <c r="Q230" s="15">
        <v>31451000000</v>
      </c>
      <c r="R230" s="12"/>
      <c r="S230" s="43">
        <f>_xll.RtGet("IDN",$X230,$S$9)</f>
        <v>102.774</v>
      </c>
      <c r="T230" s="43">
        <f>_xll.RtGet("IDN",$X230,$T$9)</f>
        <v>102.80200000000001</v>
      </c>
      <c r="U230" s="25">
        <f t="shared" si="33"/>
        <v>102.78800000000001</v>
      </c>
      <c r="V230" s="12"/>
      <c r="W230" s="25">
        <f t="shared" si="34"/>
        <v>102.78800000000001</v>
      </c>
      <c r="X230" s="14" t="str">
        <f t="shared" si="28"/>
        <v>FR0013250560=</v>
      </c>
      <c r="Y230" s="14"/>
      <c r="Z230" s="14"/>
      <c r="AA230" s="14"/>
      <c r="AB230" s="14"/>
      <c r="AC230" s="14"/>
      <c r="AD230" s="34">
        <f>IF(ISNUMBER($D230),_xll.xlBondYield($F230,$H230,$G230,$J230,$K230,$L230,$M230,$D230,$W230,IF(NOT($H230),TRUE,FALSE)),"")</f>
        <v>6.8558963316137072E-3</v>
      </c>
      <c r="AE230" s="12"/>
      <c r="AF230" s="12"/>
      <c r="AG230" s="12"/>
      <c r="AH230" s="14"/>
      <c r="AI230" s="14"/>
      <c r="AJ230" s="14"/>
      <c r="AK230" s="246">
        <f>IF(ISNUMBER($D230),_xll.xlBondAswSpread($F230&amp;T(TYPE($AV$1)),$H230,$G230,$J230,$K230,$L230,$M230,$D230,$W230,IF(NOT($H230),TRUE,FALSE),curveName,curveName,,,2),"")</f>
        <v>-0.24763726204945904</v>
      </c>
      <c r="AL230" s="213">
        <f>IF($W230&gt;0,_xll.xlBondZSpread(F230&amp;T(TYPE($AV$1)),H230,G230,J230,K230,L230,M230,D230,U230,"annual",5,IF(NOT($H230),TRUE,FALSE),curveName)*100,"")</f>
        <v>-25.204440282407823</v>
      </c>
      <c r="AM230" s="266">
        <f>(-IF($AL$9="",VLOOKUP(VLOOKUP(E230,'DB Basis'!$D$2:$H$65205,4,0),Bonds!$AR$1:$AS$6,2,0),$AL$9)*VLOOKUP(E230,'DB Basis'!$D$2:$E$65205,2,0))+IF(V230="",W230,V230)</f>
        <v>1.571533990000006</v>
      </c>
      <c r="AN230" s="274" t="str">
        <f>IF($AN$9+(($AL$9-$AM$9))*('DB Basis'!F390/10-'DB Basis'!E390),," ")</f>
        <v xml:space="preserve"> </v>
      </c>
      <c r="AO230" s="639">
        <f>IF(U230&gt;0,_xll.xlShmImplSwap2(curveName&amp;T(TYPE($AV$1)),curveName,D230,G230,,1,8,2,4),"")</f>
        <v>9.3893388291756939E-3</v>
      </c>
      <c r="AP230" s="640">
        <f t="shared" si="29"/>
        <v>-2.5334424975619867E-3</v>
      </c>
      <c r="AQ230" s="386">
        <f t="shared" si="30"/>
        <v>14.503209642212035</v>
      </c>
      <c r="AR230" s="386">
        <f t="shared" si="31"/>
        <v>4.4291350155805267</v>
      </c>
      <c r="AS230" s="388"/>
      <c r="AT230" s="242">
        <f t="shared" si="32"/>
        <v>0.67619799435094097</v>
      </c>
      <c r="AU230" s="686" t="str">
        <f t="shared" si="27"/>
        <v>OAT  25-May-27  1</v>
      </c>
      <c r="AV230" s="702"/>
      <c r="AW230" s="684"/>
      <c r="AX230" s="684"/>
      <c r="AY230" s="684"/>
      <c r="AZ230" s="684"/>
      <c r="BA230" s="684"/>
      <c r="BB230" s="683"/>
      <c r="BC230" s="696"/>
      <c r="BE230" s="706">
        <f>_xll.xlDateShiftMonth(BE229,1)</f>
        <v>49854</v>
      </c>
      <c r="BF230" s="707">
        <v>2.5941495879314883E-2</v>
      </c>
      <c r="BU230" s="133" t="s">
        <v>599</v>
      </c>
      <c r="BV230" s="133" t="s">
        <v>599</v>
      </c>
      <c r="BW230" s="133" t="s">
        <v>599</v>
      </c>
      <c r="BX230" s="133" t="s">
        <v>599</v>
      </c>
      <c r="BY230" s="133" t="s">
        <v>599</v>
      </c>
      <c r="BZ230" s="133" t="s">
        <v>599</v>
      </c>
      <c r="CA230" s="133" t="s">
        <v>599</v>
      </c>
      <c r="CB230" s="133" t="s">
        <v>599</v>
      </c>
      <c r="CC230" s="133" t="s">
        <v>599</v>
      </c>
      <c r="CD230" s="133" t="s">
        <v>599</v>
      </c>
      <c r="CE230" s="133" t="s">
        <v>599</v>
      </c>
      <c r="CF230" s="133" t="s">
        <v>599</v>
      </c>
    </row>
    <row r="231" spans="1:84">
      <c r="A231" s="10"/>
      <c r="B231" s="11"/>
      <c r="C231" s="12"/>
      <c r="D231" s="720">
        <f>MAX(_xll.xlDateSettle("TARGET",$D$4,2),L231)</f>
        <v>43179</v>
      </c>
      <c r="E231" s="718" t="s">
        <v>688</v>
      </c>
      <c r="F231" s="13" t="s">
        <v>1518</v>
      </c>
      <c r="G231" s="35">
        <v>46685</v>
      </c>
      <c r="H231" s="37">
        <v>2.75</v>
      </c>
      <c r="I231" s="11">
        <v>46685</v>
      </c>
      <c r="J231" s="11">
        <v>40841</v>
      </c>
      <c r="K231" s="11">
        <v>41207</v>
      </c>
      <c r="L231" s="11">
        <v>41163</v>
      </c>
      <c r="M231" s="12">
        <v>98.82</v>
      </c>
      <c r="N231" s="12" t="s">
        <v>1593</v>
      </c>
      <c r="O231" s="12" t="s">
        <v>1178</v>
      </c>
      <c r="P231" s="12" t="s">
        <v>1594</v>
      </c>
      <c r="Q231" s="15">
        <v>37454000000</v>
      </c>
      <c r="R231" s="12"/>
      <c r="S231" s="43">
        <f>_xll.RtGet("IDN",$X231,$S$9)</f>
        <v>118.919</v>
      </c>
      <c r="T231" s="43">
        <f>_xll.RtGet("IDN",$X231,$T$9)</f>
        <v>118.99900000000001</v>
      </c>
      <c r="U231" s="25">
        <f t="shared" si="33"/>
        <v>118.959</v>
      </c>
      <c r="V231" s="12"/>
      <c r="W231" s="25">
        <f t="shared" si="34"/>
        <v>118.959</v>
      </c>
      <c r="X231" s="14" t="str">
        <f t="shared" si="28"/>
        <v>FR0011317783=</v>
      </c>
      <c r="Y231" s="14"/>
      <c r="Z231" s="14"/>
      <c r="AA231" s="14"/>
      <c r="AB231" s="14"/>
      <c r="AC231" s="14"/>
      <c r="AD231" s="34">
        <f>IF(ISNUMBER($D231),_xll.xlBondYield($F231,$H231,$G231,$J231,$K231,$L231,$M231,$D231,$W231,IF(NOT($H231),TRUE,FALSE)),"")</f>
        <v>7.0077164186387736E-3</v>
      </c>
      <c r="AE231" s="12"/>
      <c r="AF231" s="12"/>
      <c r="AG231" s="12"/>
      <c r="AH231" s="14"/>
      <c r="AI231" s="14"/>
      <c r="AJ231" s="14"/>
      <c r="AK231" s="246">
        <f>IF(ISNUMBER($D231),_xll.xlBondAswSpread($F231&amp;T(TYPE($AV$1)),$H231,$G231,$J231,$K231,$L231,$M231,$D231,$W231,IF(NOT($H231),TRUE,FALSE),curveName,curveName,,,2),"")</f>
        <v>-0.26420489570073397</v>
      </c>
      <c r="AL231" s="213">
        <f>IF($W231&gt;0,_xll.xlBondZSpread(F231&amp;T(TYPE($AV$1)),H231,G231,J231,K231,L231,M231,D231,U231,"annual",5,IF(NOT($H231),TRUE,FALSE),curveName)*100,"")</f>
        <v>-24.726051231583202</v>
      </c>
      <c r="AM231" s="266">
        <f>(-IF($AL$9="",VLOOKUP(VLOOKUP(E231,'DB Basis'!$D$2:$H$65205,4,0),Bonds!$AR$1:$AS$6,2,0),$AL$9)*VLOOKUP(E231,'DB Basis'!$D$2:$E$65205,2,0))+IF(V231="",W231,V231)</f>
        <v>0.8087060300000104</v>
      </c>
      <c r="AN231" s="274" t="str">
        <f>IF($AN$9+(($AL$9-$AM$9))*('DB Basis'!F391/10-'DB Basis'!E391),," ")</f>
        <v xml:space="preserve"> </v>
      </c>
      <c r="AO231" s="639">
        <f>IF(U231&gt;0,_xll.xlShmImplSwap2(curveName&amp;T(TYPE($AV$1)),curveName,D231,G231,,1,8,2,4),"")</f>
        <v>9.7902870300050245E-3</v>
      </c>
      <c r="AP231" s="640">
        <f t="shared" si="29"/>
        <v>-2.7825706113662509E-3</v>
      </c>
      <c r="AQ231" s="386">
        <f t="shared" si="30"/>
        <v>3.6218517492907996</v>
      </c>
      <c r="AR231" s="386">
        <f t="shared" si="31"/>
        <v>-5.9432523881409418</v>
      </c>
      <c r="AS231" s="388"/>
      <c r="AT231" s="242">
        <f t="shared" si="32"/>
        <v>0.69117203033149555</v>
      </c>
      <c r="AU231" s="686" t="str">
        <f t="shared" si="27"/>
        <v>OAT  25-Oct-27  2.75</v>
      </c>
      <c r="AV231" s="702"/>
      <c r="AW231" s="684"/>
      <c r="AX231" s="684"/>
      <c r="AY231" s="684"/>
      <c r="AZ231" s="684"/>
      <c r="BA231" s="684"/>
      <c r="BB231" s="683"/>
      <c r="BC231" s="696"/>
      <c r="BE231" s="706">
        <f>_xll.xlDateShiftMonth(BE230,1)</f>
        <v>49884</v>
      </c>
      <c r="BF231" s="707">
        <v>2.5975670976292515E-2</v>
      </c>
      <c r="BU231" s="133" t="s">
        <v>599</v>
      </c>
      <c r="BV231" s="133" t="s">
        <v>599</v>
      </c>
      <c r="BW231" s="133" t="s">
        <v>599</v>
      </c>
      <c r="BX231" s="133" t="s">
        <v>599</v>
      </c>
      <c r="BY231" s="133" t="s">
        <v>599</v>
      </c>
      <c r="BZ231" s="133" t="s">
        <v>599</v>
      </c>
      <c r="CA231" s="133" t="s">
        <v>599</v>
      </c>
      <c r="CB231" s="133" t="s">
        <v>599</v>
      </c>
      <c r="CC231" s="133" t="s">
        <v>599</v>
      </c>
      <c r="CD231" s="133" t="s">
        <v>599</v>
      </c>
      <c r="CE231" s="133" t="s">
        <v>599</v>
      </c>
      <c r="CF231" s="133" t="s">
        <v>599</v>
      </c>
    </row>
    <row r="232" spans="1:84">
      <c r="A232" s="10"/>
      <c r="B232" s="11"/>
      <c r="C232" s="12"/>
      <c r="D232" s="720">
        <f>MAX(_xll.xlDateSettle("TARGET",$D$4,2),L232)</f>
        <v>43179</v>
      </c>
      <c r="E232" s="718" t="s">
        <v>1640</v>
      </c>
      <c r="F232" s="13" t="s">
        <v>1518</v>
      </c>
      <c r="G232" s="35">
        <v>46813</v>
      </c>
      <c r="H232" s="37">
        <v>0.1</v>
      </c>
      <c r="I232" s="11">
        <v>46813</v>
      </c>
      <c r="J232" s="11">
        <v>42430</v>
      </c>
      <c r="K232" s="11">
        <v>42795</v>
      </c>
      <c r="L232" s="11">
        <v>42786</v>
      </c>
      <c r="M232" s="12">
        <v>104.18</v>
      </c>
      <c r="N232" s="12" t="s">
        <v>1595</v>
      </c>
      <c r="O232" s="12" t="s">
        <v>1178</v>
      </c>
      <c r="P232" s="12" t="s">
        <v>1596</v>
      </c>
      <c r="Q232" s="15">
        <v>5610000000</v>
      </c>
      <c r="R232" s="12"/>
      <c r="S232" s="43">
        <f>_xll.RtGet("IDN",$X232,$S$9)</f>
        <v>106.57600000000001</v>
      </c>
      <c r="T232" s="43">
        <f>_xll.RtGet("IDN",$X232,$T$9)</f>
        <v>106.85600000000001</v>
      </c>
      <c r="U232" s="25">
        <f t="shared" si="33"/>
        <v>106.71600000000001</v>
      </c>
      <c r="V232" s="12"/>
      <c r="W232" s="25">
        <f t="shared" si="34"/>
        <v>106.71600000000001</v>
      </c>
      <c r="X232" s="14" t="str">
        <f t="shared" si="28"/>
        <v>FR0013238268=</v>
      </c>
      <c r="Y232" s="14"/>
      <c r="Z232" s="14"/>
      <c r="AA232" s="14"/>
      <c r="AB232" s="14"/>
      <c r="AC232" s="14"/>
      <c r="AD232" s="34">
        <f>IF(ISNUMBER($D232),_xll.xlBondYield($F232,$H232,$G232,$J232,$K232,$L232,$M232,$D232,$W232,IF(NOT($H232),TRUE,FALSE)),"")</f>
        <v>-5.5476147222334737E-3</v>
      </c>
      <c r="AE232" s="12"/>
      <c r="AF232" s="12"/>
      <c r="AG232" s="12"/>
      <c r="AH232" s="14"/>
      <c r="AI232" s="14"/>
      <c r="AJ232" s="14"/>
      <c r="AK232" s="246">
        <f>IF(ISNUMBER($D232),_xll.xlBondAswSpread($F232&amp;T(TYPE($AV$1)),$H232,$G232,$J232,$K232,$L232,$M232,$D232,$W232,IF(NOT($H232),TRUE,FALSE),curveName,curveName,,,2),"")</f>
        <v>-1.5837496503358517</v>
      </c>
      <c r="AL232" s="213">
        <f>IF($W232&gt;0,_xll.xlBondZSpread(F232&amp;T(TYPE($AV$1)),H232,G232,J232,K232,L232,M232,D232,U232,"annual",5,IF(NOT($H232),TRUE,FALSE),curveName)*100,"")</f>
        <v>-158.47273435830326</v>
      </c>
      <c r="AM232" s="266" t="e">
        <f>(-IF($AL$9="",VLOOKUP(VLOOKUP(E232,'DB Basis'!$D$2:$H$65205,4,0),Bonds!$AR$1:$AS$6,2,0),$AL$9)*VLOOKUP(E232,'DB Basis'!$D$2:$E$65205,2,0))+IF(V232="",W232,V232)</f>
        <v>#N/A</v>
      </c>
      <c r="AN232" s="274" t="str">
        <f>IF($AN$9+(($AL$9-$AM$9))*('DB Basis'!F392/10-'DB Basis'!E392),," ")</f>
        <v xml:space="preserve"> </v>
      </c>
      <c r="AO232" s="639">
        <f>IF(U232&gt;0,_xll.xlShmImplSwap2(curveName&amp;T(TYPE($AV$1)),curveName,D232,G232,,1,8,2,4),"")</f>
        <v>1.012261974041702E-2</v>
      </c>
      <c r="AP232" s="640">
        <f t="shared" si="29"/>
        <v>-1.5670234462650492E-2</v>
      </c>
      <c r="AQ232" s="386">
        <f t="shared" si="30"/>
        <v>-358.02311456393517</v>
      </c>
      <c r="AR232" s="386">
        <f t="shared" si="31"/>
        <v>-367.49978950927721</v>
      </c>
      <c r="AS232" s="388"/>
      <c r="AT232" s="242">
        <f t="shared" si="32"/>
        <v>-0.54716200000110971</v>
      </c>
      <c r="AU232" s="686" t="str">
        <f t="shared" si="27"/>
        <v>OAT  01-Mar-28  0.1</v>
      </c>
      <c r="AV232" s="702"/>
      <c r="AW232" s="684"/>
      <c r="AX232" s="684"/>
      <c r="AY232" s="684"/>
      <c r="AZ232" s="684"/>
      <c r="BA232" s="684"/>
      <c r="BB232" s="683"/>
      <c r="BC232" s="696"/>
      <c r="BE232" s="706">
        <f>_xll.xlDateShiftMonth(BE231,1)</f>
        <v>49915</v>
      </c>
      <c r="BF232" s="707">
        <v>2.6010859956554576E-2</v>
      </c>
      <c r="BU232" s="133" t="s">
        <v>599</v>
      </c>
      <c r="BV232" s="133" t="s">
        <v>599</v>
      </c>
      <c r="BW232" s="133" t="s">
        <v>599</v>
      </c>
      <c r="BX232" s="133" t="s">
        <v>599</v>
      </c>
      <c r="BY232" s="133" t="s">
        <v>599</v>
      </c>
      <c r="BZ232" s="133" t="s">
        <v>599</v>
      </c>
      <c r="CA232" s="133" t="s">
        <v>599</v>
      </c>
      <c r="CB232" s="133" t="s">
        <v>599</v>
      </c>
      <c r="CC232" s="133" t="s">
        <v>599</v>
      </c>
      <c r="CD232" s="133" t="s">
        <v>599</v>
      </c>
      <c r="CE232" s="133" t="s">
        <v>599</v>
      </c>
      <c r="CF232" s="133" t="s">
        <v>599</v>
      </c>
    </row>
    <row r="233" spans="1:84">
      <c r="A233" s="10"/>
      <c r="B233" s="11"/>
      <c r="C233" s="12"/>
      <c r="D233" s="720">
        <f>MAX(_xll.xlDateSettle("TARGET",$D$4,2),L233)</f>
        <v>43179</v>
      </c>
      <c r="E233" s="718" t="s">
        <v>1641</v>
      </c>
      <c r="F233" s="13" t="s">
        <v>1518</v>
      </c>
      <c r="G233" s="35">
        <v>46898</v>
      </c>
      <c r="H233" s="37">
        <v>0.75</v>
      </c>
      <c r="I233" s="11">
        <v>46898</v>
      </c>
      <c r="J233" s="11">
        <v>42880</v>
      </c>
      <c r="K233" s="11">
        <v>43245</v>
      </c>
      <c r="L233" s="11">
        <v>43017</v>
      </c>
      <c r="M233" s="12">
        <v>98.64</v>
      </c>
      <c r="N233" s="12" t="s">
        <v>1597</v>
      </c>
      <c r="O233" s="12" t="s">
        <v>1197</v>
      </c>
      <c r="P233" s="12" t="s">
        <v>1598</v>
      </c>
      <c r="Q233" s="15">
        <v>23489000000</v>
      </c>
      <c r="R233" s="12"/>
      <c r="S233" s="43">
        <f>_xll.RtGet("IDN",$X233,$S$9)</f>
        <v>99.341999999999999</v>
      </c>
      <c r="T233" s="43">
        <f>_xll.RtGet("IDN",$X233,$T$9)</f>
        <v>99.376999999999995</v>
      </c>
      <c r="U233" s="25">
        <f t="shared" si="33"/>
        <v>99.359499999999997</v>
      </c>
      <c r="V233" s="12"/>
      <c r="W233" s="25">
        <f t="shared" si="34"/>
        <v>99.359499999999997</v>
      </c>
      <c r="X233" s="14" t="str">
        <f t="shared" si="28"/>
        <v>FR0013286192=</v>
      </c>
      <c r="Y233" s="14"/>
      <c r="Z233" s="14"/>
      <c r="AA233" s="14"/>
      <c r="AB233" s="14"/>
      <c r="AC233" s="14"/>
      <c r="AD233" s="34">
        <f>IF(ISNUMBER($D233),_xll.xlBondYield($F233,$H233,$G233,$J233,$K233,$L233,$M233,$D233,$W233,IF(NOT($H233),TRUE,FALSE)),"")</f>
        <v>8.158103260503681E-3</v>
      </c>
      <c r="AE233" s="12"/>
      <c r="AF233" s="12"/>
      <c r="AG233" s="12"/>
      <c r="AH233" s="14"/>
      <c r="AI233" s="14"/>
      <c r="AJ233" s="14"/>
      <c r="AK233" s="246">
        <f>IF(ISNUMBER($D233),_xll.xlBondAswSpread($F233&amp;T(TYPE($AV$1)),$H233,$G233,$J233,$K233,$L233,$M233,$D233,$W233,IF(NOT($H233),TRUE,FALSE),curveName,curveName,,,2),"")</f>
        <v>-0.21370243155304416</v>
      </c>
      <c r="AL233" s="213">
        <f>IF($W233&gt;0,_xll.xlBondZSpread(F233&amp;T(TYPE($AV$1)),H233,G233,J233,K233,L233,M233,D233,U233,"annual",5,IF(NOT($H233),TRUE,FALSE),curveName)*100,"")</f>
        <v>-22.240932586888452</v>
      </c>
      <c r="AM233" s="266">
        <f>(-IF($AL$9="",VLOOKUP(VLOOKUP(E233,'DB Basis'!$D$2:$H$65205,4,0),Bonds!$AR$1:$AS$6,2,0),$AL$9)*VLOOKUP(E233,'DB Basis'!$D$2:$E$65205,2,0))+IF(V233="",W233,V233)</f>
        <v>5.2346140200000093</v>
      </c>
      <c r="AN233" s="274" t="str">
        <f>IF($AN$9+(($AL$9-$AM$9))*('DB Basis'!F393/10-'DB Basis'!E393),," ")</f>
        <v xml:space="preserve"> </v>
      </c>
      <c r="AO233" s="639">
        <f>IF(U233&gt;0,_xll.xlShmImplSwap2(curveName&amp;T(TYPE($AV$1)),curveName,D233,G233,,1,8,2,4),"")</f>
        <v>1.0326166205145718E-2</v>
      </c>
      <c r="AP233" s="640">
        <f t="shared" si="29"/>
        <v>-2.1680629446420366E-3</v>
      </c>
      <c r="AQ233" s="386">
        <f t="shared" si="30"/>
        <v>588.53965455283071</v>
      </c>
      <c r="AR233" s="386">
        <f t="shared" si="31"/>
        <v>579.79912989095146</v>
      </c>
      <c r="AS233" s="388"/>
      <c r="AT233" s="242">
        <f t="shared" si="32"/>
        <v>0.80463484213186987</v>
      </c>
      <c r="AU233" s="686" t="str">
        <f t="shared" si="27"/>
        <v>OAT  25-May-28  0.75</v>
      </c>
      <c r="AV233" s="702"/>
      <c r="AW233" s="684"/>
      <c r="AX233" s="684"/>
      <c r="AY233" s="684"/>
      <c r="AZ233" s="684"/>
      <c r="BA233" s="684"/>
      <c r="BB233" s="683"/>
      <c r="BC233" s="696"/>
      <c r="BE233" s="706">
        <f>_xll.xlDateShiftMonth(BE232,1)</f>
        <v>49946</v>
      </c>
      <c r="BF233" s="707">
        <v>2.6045942405071416E-2</v>
      </c>
      <c r="BU233" s="133" t="s">
        <v>599</v>
      </c>
      <c r="BV233" s="133" t="s">
        <v>599</v>
      </c>
      <c r="BW233" s="133" t="s">
        <v>599</v>
      </c>
      <c r="BX233" s="133" t="s">
        <v>599</v>
      </c>
      <c r="BY233" s="133" t="s">
        <v>599</v>
      </c>
      <c r="BZ233" s="133" t="s">
        <v>599</v>
      </c>
      <c r="CA233" s="133" t="s">
        <v>599</v>
      </c>
      <c r="CB233" s="133" t="s">
        <v>599</v>
      </c>
      <c r="CC233" s="133" t="s">
        <v>599</v>
      </c>
      <c r="CD233" s="133" t="s">
        <v>599</v>
      </c>
      <c r="CE233" s="133" t="s">
        <v>599</v>
      </c>
      <c r="CF233" s="133" t="s">
        <v>599</v>
      </c>
    </row>
    <row r="234" spans="1:84">
      <c r="A234" s="10"/>
      <c r="B234" s="11"/>
      <c r="C234" s="12"/>
      <c r="D234" s="720">
        <f>MAX(_xll.xlDateSettle("TARGET",$D$4,2),L234)</f>
        <v>43179</v>
      </c>
      <c r="E234" s="718" t="s">
        <v>689</v>
      </c>
      <c r="F234" s="13" t="s">
        <v>1518</v>
      </c>
      <c r="G234" s="35">
        <v>47233</v>
      </c>
      <c r="H234" s="37">
        <v>5.5</v>
      </c>
      <c r="I234" s="11">
        <v>47233</v>
      </c>
      <c r="J234" s="11">
        <v>35545</v>
      </c>
      <c r="K234" s="11">
        <v>35910</v>
      </c>
      <c r="L234" s="11">
        <v>35866</v>
      </c>
      <c r="M234" s="12">
        <v>97.68</v>
      </c>
      <c r="N234" s="12" t="s">
        <v>1599</v>
      </c>
      <c r="O234" s="12" t="s">
        <v>1178</v>
      </c>
      <c r="P234" s="12" t="s">
        <v>1600</v>
      </c>
      <c r="Q234" s="15">
        <v>30033880458</v>
      </c>
      <c r="R234" s="12"/>
      <c r="S234" s="43">
        <f>_xll.RtGet("IDN",$X234,$S$9)</f>
        <v>149.35</v>
      </c>
      <c r="T234" s="43">
        <f>_xll.RtGet("IDN",$X234,$T$9)</f>
        <v>149.43</v>
      </c>
      <c r="U234" s="25">
        <f t="shared" si="33"/>
        <v>149.38999999999999</v>
      </c>
      <c r="V234" s="12"/>
      <c r="W234" s="25">
        <f t="shared" si="34"/>
        <v>149.38999999999999</v>
      </c>
      <c r="X234" s="14" t="str">
        <f t="shared" si="28"/>
        <v>FR0000571218=</v>
      </c>
      <c r="Y234" s="14"/>
      <c r="Z234" s="14"/>
      <c r="AA234" s="14"/>
      <c r="AB234" s="14"/>
      <c r="AC234" s="14"/>
      <c r="AD234" s="34">
        <f>IF(ISNUMBER($D234),_xll.xlBondYield($F234,$H234,$G234,$J234,$K234,$L234,$M234,$D234,$W234,IF(NOT($H234),TRUE,FALSE)),"")</f>
        <v>8.2461282650503759E-3</v>
      </c>
      <c r="AE234" s="12"/>
      <c r="AF234" s="12"/>
      <c r="AG234" s="12"/>
      <c r="AH234" s="14"/>
      <c r="AI234" s="14"/>
      <c r="AJ234" s="14"/>
      <c r="AK234" s="758">
        <f>IF(ISNUMBER($D234),_xll.xlBondAswSpread($F234&amp;T(TYPE($AV$1)),$H234,$G234,$J234,$K234,$L234,$M234,$D234,$W234,IF(NOT($H234),TRUE,FALSE),curveName,curveName,,,2),"")</f>
        <v>-0.25522631863218959</v>
      </c>
      <c r="AL234" s="213">
        <f>IF($W234&gt;0,_xll.xlBondZSpread(F234&amp;T(TYPE($AV$1)),H234,G234,J234,K234,L234,M234,D234,U234,"annual",5,IF(NOT($H234),TRUE,FALSE),curveName)*100,"")</f>
        <v>-20.77742500934983</v>
      </c>
      <c r="AM234" s="266">
        <f>(-IF($AL$9="",VLOOKUP(VLOOKUP(E234,'DB Basis'!$D$2:$H$65205,4,0),Bonds!$AR$1:$AS$6,2,0),$AL$9)*VLOOKUP(E234,'DB Basis'!$D$2:$E$65205,2,0))+IF(V234="",W234,V234)</f>
        <v>-5.9760499999999865</v>
      </c>
      <c r="AN234" s="274" t="str">
        <f>IF($AN$9+(($AL$9-$AM$9))*('DB Basis'!F394/10-'DB Basis'!E394),," ")</f>
        <v xml:space="preserve"> </v>
      </c>
      <c r="AO234" s="639">
        <f>IF(U234&gt;0,_xll.xlShmImplSwap2(curveName&amp;T(TYPE($AV$1)),curveName,D234,G234,,1,8,2,4),"")</f>
        <v>1.1097445101031304E-2</v>
      </c>
      <c r="AP234" s="640">
        <f t="shared" si="29"/>
        <v>-2.8513168359809282E-3</v>
      </c>
      <c r="AQ234" s="386">
        <f t="shared" si="30"/>
        <v>0.95907840774757092</v>
      </c>
      <c r="AR234" s="386">
        <f t="shared" si="31"/>
        <v>-7.4444080698118045</v>
      </c>
      <c r="AS234" s="388"/>
      <c r="AT234" s="242">
        <f t="shared" si="32"/>
        <v>0.81331676038853029</v>
      </c>
      <c r="AU234" s="686" t="str">
        <f t="shared" si="27"/>
        <v>OAT  25-Apr-29  5.5</v>
      </c>
      <c r="AV234" s="702"/>
      <c r="AW234" s="684"/>
      <c r="AX234" s="684"/>
      <c r="AY234" s="684"/>
      <c r="AZ234" s="684"/>
      <c r="BA234" s="684"/>
      <c r="BB234" s="683"/>
      <c r="BC234" s="696"/>
      <c r="BE234" s="706">
        <f>_xll.xlDateShiftMonth(BE233,1)</f>
        <v>49976</v>
      </c>
      <c r="BF234" s="707">
        <v>2.6079811541989937E-2</v>
      </c>
      <c r="BU234" s="133" t="s">
        <v>599</v>
      </c>
      <c r="BV234" s="133" t="s">
        <v>599</v>
      </c>
      <c r="BW234" s="133" t="s">
        <v>599</v>
      </c>
      <c r="BX234" s="133" t="s">
        <v>599</v>
      </c>
      <c r="BY234" s="133" t="s">
        <v>599</v>
      </c>
      <c r="BZ234" s="133" t="s">
        <v>599</v>
      </c>
      <c r="CA234" s="133" t="s">
        <v>599</v>
      </c>
      <c r="CB234" s="133" t="s">
        <v>599</v>
      </c>
      <c r="CC234" s="133" t="s">
        <v>599</v>
      </c>
      <c r="CD234" s="133" t="s">
        <v>599</v>
      </c>
      <c r="CE234" s="133" t="s">
        <v>599</v>
      </c>
      <c r="CF234" s="133" t="s">
        <v>599</v>
      </c>
    </row>
    <row r="235" spans="1:84">
      <c r="A235" s="10"/>
      <c r="B235" s="11"/>
      <c r="C235" s="12"/>
      <c r="D235" s="720">
        <f>MAX(_xll.xlDateSettle("TARGET",$D$4,2),L235)</f>
        <v>43179</v>
      </c>
      <c r="E235" s="718" t="s">
        <v>418</v>
      </c>
      <c r="F235" s="13" t="s">
        <v>1518</v>
      </c>
      <c r="G235" s="35">
        <v>47628</v>
      </c>
      <c r="H235" s="37">
        <v>2.5</v>
      </c>
      <c r="I235" s="11">
        <v>47628</v>
      </c>
      <c r="J235" s="11">
        <v>41419</v>
      </c>
      <c r="K235" s="11">
        <v>41784</v>
      </c>
      <c r="L235" s="11">
        <v>41765</v>
      </c>
      <c r="M235" s="12">
        <v>98.18</v>
      </c>
      <c r="N235" s="12" t="s">
        <v>1601</v>
      </c>
      <c r="O235" s="12" t="s">
        <v>1178</v>
      </c>
      <c r="P235" s="12" t="s">
        <v>1602</v>
      </c>
      <c r="Q235" s="15">
        <v>33208000000</v>
      </c>
      <c r="R235" s="12"/>
      <c r="S235" s="43">
        <f>_xll.RtGet("IDN",$X235,$S$9)</f>
        <v>117.633</v>
      </c>
      <c r="T235" s="43">
        <f>_xll.RtGet("IDN",$X235,$T$9)</f>
        <v>117.71300000000001</v>
      </c>
      <c r="U235" s="25">
        <f t="shared" si="33"/>
        <v>117.673</v>
      </c>
      <c r="V235" s="12"/>
      <c r="W235" s="25">
        <f t="shared" si="34"/>
        <v>117.673</v>
      </c>
      <c r="X235" s="14" t="str">
        <f t="shared" si="28"/>
        <v>FR0011883966=</v>
      </c>
      <c r="Y235" s="14"/>
      <c r="Z235" s="14"/>
      <c r="AA235" s="14"/>
      <c r="AB235" s="14"/>
      <c r="AC235" s="14"/>
      <c r="AD235" s="34">
        <f>IF(ISNUMBER($D235),_xll.xlBondYield($F235,$H235,$G235,$J235,$K235,$L235,$M235,$D235,$W235,IF(NOT($H235),TRUE,FALSE)),"")</f>
        <v>9.5592837538038267E-3</v>
      </c>
      <c r="AE235" s="12"/>
      <c r="AF235" s="12"/>
      <c r="AG235" s="12"/>
      <c r="AH235" s="14"/>
      <c r="AI235" s="14"/>
      <c r="AJ235" s="14"/>
      <c r="AK235" s="246">
        <f>IF(ISNUMBER($D235),_xll.xlBondAswSpread($F235&amp;T(TYPE($AV$1)),$H235,$G235,$J235,$K235,$L235,$M235,$D235,$W235,IF(NOT($H235),TRUE,FALSE),curveName,curveName,,,2),"")</f>
        <v>-0.21539043024295523</v>
      </c>
      <c r="AL235" s="213">
        <f>IF($W235&gt;0,_xll.xlBondZSpread(F235&amp;T(TYPE($AV$1)),H235,G235,J235,K235,L235,M235,D235,U235,"annual",5,IF(NOT($H235),TRUE,FALSE),curveName)*100,"")</f>
        <v>-20.425968675015614</v>
      </c>
      <c r="AM235" s="266">
        <f>(-IF($AL$9="",VLOOKUP(VLOOKUP(E235,'DB Basis'!$D$2:$H$65205,4,0),Bonds!$AR$1:$AS$6,2,0),$AL$9)*VLOOKUP(E235,'DB Basis'!$D$2:$E$65205,2,0))+IF(V235="",W235,V235)</f>
        <v>-26.518939999999986</v>
      </c>
      <c r="AN235" s="274" t="str">
        <f>IF($AN$9+(($AL$9-$AM$9))*('DB Basis'!F395/10-'DB Basis'!E395),," ")</f>
        <v xml:space="preserve"> </v>
      </c>
      <c r="AO235" s="639">
        <f>IF(U235&gt;0,_xll.xlShmImplSwap2(curveName&amp;T(TYPE($AV$1)),curveName,D235,G235,,1,8,2,4),"")</f>
        <v>1.1893264363916734E-2</v>
      </c>
      <c r="AP235" s="640">
        <f t="shared" si="29"/>
        <v>-2.3339806101129075E-3</v>
      </c>
      <c r="AQ235" s="386">
        <f t="shared" si="30"/>
        <v>12.13422160493695</v>
      </c>
      <c r="AR235" s="386">
        <f t="shared" si="31"/>
        <v>4.7804486694133557</v>
      </c>
      <c r="AS235" s="388"/>
      <c r="AT235" s="242">
        <f t="shared" si="32"/>
        <v>0.94283346612859653</v>
      </c>
      <c r="AU235" s="686" t="str">
        <f t="shared" si="27"/>
        <v>OAT  25-May-30  2.5</v>
      </c>
      <c r="AV235" s="702"/>
      <c r="AW235" s="684"/>
      <c r="AX235" s="684"/>
      <c r="AY235" s="684"/>
      <c r="AZ235" s="684"/>
      <c r="BA235" s="684"/>
      <c r="BB235" s="683"/>
      <c r="BC235" s="696"/>
      <c r="BE235" s="706">
        <f>_xll.xlDateShiftMonth(BE234,1)</f>
        <v>50007</v>
      </c>
      <c r="BF235" s="707">
        <v>2.6114745782894924E-2</v>
      </c>
      <c r="BU235" s="133" t="s">
        <v>599</v>
      </c>
      <c r="BV235" s="133" t="s">
        <v>599</v>
      </c>
      <c r="BW235" s="133" t="s">
        <v>599</v>
      </c>
      <c r="BX235" s="133" t="s">
        <v>599</v>
      </c>
      <c r="BY235" s="133" t="s">
        <v>599</v>
      </c>
      <c r="BZ235" s="133" t="s">
        <v>599</v>
      </c>
      <c r="CA235" s="133" t="s">
        <v>599</v>
      </c>
      <c r="CB235" s="133" t="s">
        <v>599</v>
      </c>
      <c r="CC235" s="133" t="s">
        <v>599</v>
      </c>
      <c r="CD235" s="133" t="s">
        <v>599</v>
      </c>
      <c r="CE235" s="133" t="s">
        <v>599</v>
      </c>
      <c r="CF235" s="133" t="s">
        <v>599</v>
      </c>
    </row>
    <row r="236" spans="1:84">
      <c r="A236" s="10"/>
      <c r="B236" s="11"/>
      <c r="C236" s="12"/>
      <c r="D236" s="720">
        <f>MAX(_xll.xlDateSettle("TARGET",$D$4,2),L236)</f>
        <v>43179</v>
      </c>
      <c r="E236" s="718" t="s">
        <v>767</v>
      </c>
      <c r="F236" s="13" t="s">
        <v>1518</v>
      </c>
      <c r="G236" s="35">
        <v>47993</v>
      </c>
      <c r="H236" s="37">
        <v>1.5</v>
      </c>
      <c r="I236" s="11">
        <v>47993</v>
      </c>
      <c r="J236" s="11">
        <v>42149</v>
      </c>
      <c r="K236" s="11">
        <v>42515</v>
      </c>
      <c r="L236" s="11">
        <v>42282</v>
      </c>
      <c r="M236" s="12">
        <v>100.09</v>
      </c>
      <c r="N236" s="12" t="s">
        <v>1603</v>
      </c>
      <c r="O236" s="12" t="s">
        <v>1178</v>
      </c>
      <c r="P236" s="12" t="s">
        <v>1604</v>
      </c>
      <c r="Q236" s="15">
        <v>35834000000</v>
      </c>
      <c r="R236" s="12"/>
      <c r="S236" s="43">
        <f>_xll.RtGet("IDN",$X236,$S$9)</f>
        <v>105.55200000000001</v>
      </c>
      <c r="T236" s="43">
        <f>_xll.RtGet("IDN",$X236,$T$9)</f>
        <v>105.63200000000001</v>
      </c>
      <c r="U236" s="25">
        <f t="shared" si="33"/>
        <v>105.59200000000001</v>
      </c>
      <c r="V236" s="12"/>
      <c r="W236" s="25">
        <f t="shared" si="34"/>
        <v>105.59200000000001</v>
      </c>
      <c r="X236" s="14" t="str">
        <f t="shared" si="28"/>
        <v>FR0012993103=</v>
      </c>
      <c r="Y236" s="14"/>
      <c r="Z236" s="14"/>
      <c r="AA236" s="14"/>
      <c r="AB236" s="14"/>
      <c r="AC236" s="14"/>
      <c r="AD236" s="34">
        <f>IF(ISNUMBER($D236),_xll.xlBondYield($F236,$H236,$G236,$J236,$K236,$L236,$M236,$D236,$W236,IF(NOT($H236),TRUE,FALSE)),"")</f>
        <v>1.0435803844861095E-2</v>
      </c>
      <c r="AE236" s="12"/>
      <c r="AF236" s="12"/>
      <c r="AG236" s="12"/>
      <c r="AH236" s="14"/>
      <c r="AI236" s="14"/>
      <c r="AJ236" s="14"/>
      <c r="AK236" s="246">
        <f>IF(ISNUMBER($D236),_xll.xlBondAswSpread($F236&amp;T(TYPE($AV$1)),$H236,$G236,$J236,$K236,$L236,$M236,$D236,$W236,IF(NOT($H236),TRUE,FALSE),curveName,curveName,,,2),"")</f>
        <v>-0.2003857904936574</v>
      </c>
      <c r="AL236" s="213">
        <f>IF($W236&gt;0,_xll.xlBondZSpread(F236&amp;T(TYPE($AV$1)),H236,G236,J236,K236,L236,M236,D236,U236,"annual",5,IF(NOT($H236),TRUE,FALSE),curveName)*100,"")</f>
        <v>-20.30693705013983</v>
      </c>
      <c r="AM236" s="266">
        <f>(-IF($AL$9="",VLOOKUP(VLOOKUP(E236,'DB Basis'!$D$2:$H$65205,4,0),Bonds!$AR$1:$AS$6,2,0),$AL$9)*VLOOKUP(E236,'DB Basis'!$D$2:$E$65205,2,0))+IF(V236="",W236,V236)</f>
        <v>-38.906079999999974</v>
      </c>
      <c r="AN236" s="274" t="str">
        <f>IF($AN$9+(($AL$9-$AM$9))*('DB Basis'!F396/10-'DB Basis'!E396),," ")</f>
        <v xml:space="preserve"> </v>
      </c>
      <c r="AO236" s="639">
        <f>IF(U236&gt;0,_xll.xlShmImplSwap2(curveName&amp;T(TYPE($AV$1)),curveName,D236,G236,,1,8,2,4),"")</f>
        <v>1.2527027339704115E-2</v>
      </c>
      <c r="AP236" s="640">
        <f t="shared" si="29"/>
        <v>-2.0912234948430204E-3</v>
      </c>
      <c r="AQ236" s="386">
        <f t="shared" si="30"/>
        <v>8.7652009105726787</v>
      </c>
      <c r="AR236" s="386">
        <f t="shared" si="31"/>
        <v>2.4275711526988704</v>
      </c>
      <c r="AS236" s="388"/>
      <c r="AT236" s="242">
        <f t="shared" si="32"/>
        <v>1.0292847627808204</v>
      </c>
      <c r="AU236" s="686" t="str">
        <f t="shared" si="27"/>
        <v>OAT  25-May-31  1.5</v>
      </c>
      <c r="AV236" s="702"/>
      <c r="AW236" s="684"/>
      <c r="AX236" s="684"/>
      <c r="AY236" s="684"/>
      <c r="AZ236" s="684"/>
      <c r="BA236" s="684"/>
      <c r="BB236" s="683"/>
      <c r="BC236" s="696"/>
      <c r="BE236" s="706">
        <f>_xll.xlDateShiftMonth(BE235,1)</f>
        <v>50037</v>
      </c>
      <c r="BF236" s="707">
        <v>2.6148510903137294E-2</v>
      </c>
      <c r="BU236" s="133" t="s">
        <v>599</v>
      </c>
      <c r="BV236" s="133" t="s">
        <v>599</v>
      </c>
      <c r="BW236" s="133" t="s">
        <v>599</v>
      </c>
      <c r="BX236" s="133" t="s">
        <v>599</v>
      </c>
      <c r="BY236" s="133" t="s">
        <v>599</v>
      </c>
      <c r="BZ236" s="133" t="s">
        <v>599</v>
      </c>
      <c r="CA236" s="133" t="s">
        <v>599</v>
      </c>
      <c r="CB236" s="133" t="s">
        <v>599</v>
      </c>
      <c r="CC236" s="133" t="s">
        <v>599</v>
      </c>
      <c r="CD236" s="133" t="s">
        <v>599</v>
      </c>
      <c r="CE236" s="133" t="s">
        <v>599</v>
      </c>
      <c r="CF236" s="133" t="s">
        <v>599</v>
      </c>
    </row>
    <row r="237" spans="1:84">
      <c r="A237" s="10"/>
      <c r="B237" s="11"/>
      <c r="C237" s="12"/>
      <c r="D237" s="720">
        <f>MAX(_xll.xlDateSettle("TARGET",$D$4,2),L237)</f>
        <v>43179</v>
      </c>
      <c r="E237" s="718" t="s">
        <v>690</v>
      </c>
      <c r="F237" s="13" t="s">
        <v>1518</v>
      </c>
      <c r="G237" s="35">
        <v>48512</v>
      </c>
      <c r="H237" s="37">
        <v>5.75</v>
      </c>
      <c r="I237" s="11">
        <v>48512</v>
      </c>
      <c r="J237" s="11">
        <v>36824</v>
      </c>
      <c r="K237" s="11">
        <v>37189</v>
      </c>
      <c r="L237" s="11">
        <v>37054</v>
      </c>
      <c r="M237" s="12">
        <v>99</v>
      </c>
      <c r="N237" s="12" t="s">
        <v>1605</v>
      </c>
      <c r="O237" s="12" t="s">
        <v>1178</v>
      </c>
      <c r="P237" s="12" t="s">
        <v>1606</v>
      </c>
      <c r="Q237" s="15">
        <v>32162322600</v>
      </c>
      <c r="R237" s="12"/>
      <c r="S237" s="43">
        <f>_xll.RtGet("IDN",$X237,$S$9)</f>
        <v>163.369</v>
      </c>
      <c r="T237" s="43">
        <f>_xll.RtGet("IDN",$X237,$T$9)</f>
        <v>163.50900000000001</v>
      </c>
      <c r="U237" s="25">
        <f t="shared" si="33"/>
        <v>163.43900000000002</v>
      </c>
      <c r="V237" s="12"/>
      <c r="W237" s="25">
        <f t="shared" si="34"/>
        <v>163.43900000000002</v>
      </c>
      <c r="X237" s="14" t="str">
        <f t="shared" si="28"/>
        <v>FR0000187635=</v>
      </c>
      <c r="Y237" s="14"/>
      <c r="Z237" s="14"/>
      <c r="AA237" s="14"/>
      <c r="AB237" s="14"/>
      <c r="AC237" s="14"/>
      <c r="AD237" s="34">
        <f>IF(ISNUMBER($D237),_xll.xlBondYield($F237,$H237,$G237,$J237,$K237,$L237,$M237,$D237,$W237,IF(NOT($H237),TRUE,FALSE)),"")</f>
        <v>1.0426511014940111E-2</v>
      </c>
      <c r="AE237" s="12"/>
      <c r="AF237" s="12"/>
      <c r="AG237" s="12"/>
      <c r="AH237" s="14"/>
      <c r="AI237" s="14"/>
      <c r="AJ237" s="14"/>
      <c r="AK237" s="246">
        <f>IF(ISNUMBER($D237),_xll.xlBondAswSpread($F237&amp;T(TYPE($AV$1)),$H237,$G237,$J237,$K237,$L237,$M237,$D237,$W237,IF(NOT($H237),TRUE,FALSE),curveName,curveName,,,2),"")</f>
        <v>-0.24823495506035637</v>
      </c>
      <c r="AL237" s="213">
        <f>IF($W237&gt;0,_xll.xlBondZSpread(F237&amp;T(TYPE($AV$1)),H237,G237,J237,K237,L237,M237,D237,U237,"annual",5,IF(NOT($H237),TRUE,FALSE),curveName)*100,"")</f>
        <v>-19.177140967425661</v>
      </c>
      <c r="AM237" s="266">
        <f>(-IF($AL$9="",VLOOKUP(VLOOKUP(E237,'DB Basis'!$D$2:$H$65205,4,0),Bonds!$AR$1:$AS$6,2,0),$AL$9)*VLOOKUP(E237,'DB Basis'!$D$2:$E$65205,2,0))+IF(V237="",W237,V237)</f>
        <v>-45.654619999999994</v>
      </c>
      <c r="AN237" s="274" t="str">
        <f>IF($AN$9+(($AL$9-$AM$9))*('DB Basis'!F397/10-'DB Basis'!E397),," ")</f>
        <v xml:space="preserve"> </v>
      </c>
      <c r="AO237" s="639">
        <f>IF(U237&gt;0,_xll.xlShmImplSwap2(curveName&amp;T(TYPE($AV$1)),curveName,D237,G237,,1,8,2,4),"")</f>
        <v>1.3280134416912455E-2</v>
      </c>
      <c r="AP237" s="640">
        <f t="shared" si="29"/>
        <v>-2.8536234019723439E-3</v>
      </c>
      <c r="AQ237" s="386">
        <f t="shared" si="30"/>
        <v>-6.5354198866262675E-2</v>
      </c>
      <c r="AR237" s="386">
        <f t="shared" si="31"/>
        <v>-5.3617719865549729</v>
      </c>
      <c r="AS237" s="388"/>
      <c r="AT237" s="242">
        <f t="shared" si="32"/>
        <v>1.0283682096927231</v>
      </c>
      <c r="AU237" s="686" t="str">
        <f t="shared" si="27"/>
        <v>OAT  25-Oct-32  5.75</v>
      </c>
      <c r="AV237" s="702"/>
      <c r="AW237" s="684"/>
      <c r="AX237" s="684"/>
      <c r="AY237" s="684"/>
      <c r="AZ237" s="684"/>
      <c r="BA237" s="684"/>
      <c r="BB237" s="683"/>
      <c r="BC237" s="696"/>
      <c r="BE237" s="706">
        <f>_xll.xlDateShiftMonth(BE236,1)</f>
        <v>50068</v>
      </c>
      <c r="BF237" s="707">
        <v>2.6183378383856763E-2</v>
      </c>
      <c r="BU237" s="133" t="s">
        <v>599</v>
      </c>
      <c r="BV237" s="133" t="s">
        <v>599</v>
      </c>
      <c r="BW237" s="133" t="s">
        <v>599</v>
      </c>
      <c r="BX237" s="133" t="s">
        <v>599</v>
      </c>
      <c r="BY237" s="133" t="s">
        <v>599</v>
      </c>
      <c r="BZ237" s="133" t="s">
        <v>599</v>
      </c>
      <c r="CA237" s="133" t="s">
        <v>599</v>
      </c>
      <c r="CB237" s="133" t="s">
        <v>599</v>
      </c>
      <c r="CC237" s="133" t="s">
        <v>599</v>
      </c>
      <c r="CD237" s="133" t="s">
        <v>599</v>
      </c>
      <c r="CE237" s="133" t="s">
        <v>599</v>
      </c>
      <c r="CF237" s="133" t="s">
        <v>599</v>
      </c>
    </row>
    <row r="238" spans="1:84">
      <c r="A238" s="10"/>
      <c r="B238" s="11"/>
      <c r="C238" s="12"/>
      <c r="D238" s="720">
        <f>MAX(_xll.xlDateSettle("TARGET",$D$4,2),L238)</f>
        <v>43179</v>
      </c>
      <c r="E238" s="718" t="s">
        <v>1723</v>
      </c>
      <c r="F238" s="13" t="s">
        <v>1518</v>
      </c>
      <c r="G238" s="35">
        <v>49089</v>
      </c>
      <c r="H238" s="37">
        <v>1.25</v>
      </c>
      <c r="I238" s="11">
        <v>49089</v>
      </c>
      <c r="J238" s="11">
        <v>42880</v>
      </c>
      <c r="K238" s="11">
        <v>43245</v>
      </c>
      <c r="L238" s="11">
        <v>43136</v>
      </c>
      <c r="M238" s="12">
        <v>98.79</v>
      </c>
      <c r="N238" s="12" t="s">
        <v>1724</v>
      </c>
      <c r="O238" s="12" t="s">
        <v>1197</v>
      </c>
      <c r="P238" s="12" t="s">
        <v>1725</v>
      </c>
      <c r="Q238" s="15">
        <v>3310000000</v>
      </c>
      <c r="R238" s="12"/>
      <c r="S238" s="43">
        <f>_xll.RtGet("IDN",$X238,$S$9)</f>
        <v>100.4</v>
      </c>
      <c r="T238" s="43">
        <f>_xll.RtGet("IDN",$X238,$T$9)</f>
        <v>100.87</v>
      </c>
      <c r="U238" s="25">
        <f t="shared" si="33"/>
        <v>100.63500000000001</v>
      </c>
      <c r="V238" s="12"/>
      <c r="W238" s="25">
        <f t="shared" si="34"/>
        <v>100.63500000000001</v>
      </c>
      <c r="X238" s="14" t="str">
        <f t="shared" si="28"/>
        <v>FR0013313582=</v>
      </c>
      <c r="Y238" s="14"/>
      <c r="Z238" s="14"/>
      <c r="AA238" s="14"/>
      <c r="AB238" s="14"/>
      <c r="AC238" s="14"/>
      <c r="AD238" s="34">
        <f>IF(ISNUMBER($D238),_xll.xlBondYield($F238,$H238,$G238,$J238,$K238,$L238,$M238,$D238,$W238,IF(NOT($H238),TRUE,FALSE)),"")</f>
        <v>1.2064874246462659E-2</v>
      </c>
      <c r="AE238" s="12"/>
      <c r="AF238" s="12"/>
      <c r="AG238" s="12"/>
      <c r="AH238" s="14"/>
      <c r="AI238" s="14"/>
      <c r="AJ238" s="14"/>
      <c r="AK238" s="246">
        <f>IF(ISNUMBER($D238),_xll.xlBondAswSpread($F238&amp;T(TYPE($AV$1)),$H238,$G238,$J238,$K238,$L238,$M238,$D238,$W238,IF(NOT($H238),TRUE,FALSE),curveName,curveName,,,2),"")</f>
        <v>-0.18346628179941327</v>
      </c>
      <c r="AL238" s="213">
        <f>IF($W238&gt;0,_xll.xlBondZSpread(F238&amp;T(TYPE($AV$1)),H238,G238,J238,K238,L238,M238,D238,U238,"annual",5,IF(NOT($H238),TRUE,FALSE),curveName)*100,"")</f>
        <v>-19.217143248723005</v>
      </c>
      <c r="AM238" s="266">
        <f>(-IF($AL$9="",VLOOKUP(VLOOKUP(E238,'DB Basis'!$D$2:$H$65205,4,0),Bonds!$AR$1:$AS$6,2,0),$AL$9)*VLOOKUP(E238,'DB Basis'!$D$2:$E$65205,2,0))+IF(V238="",W238,V238)</f>
        <v>-66.364369999999994</v>
      </c>
      <c r="AN238" s="274" t="str">
        <f>IF($AN$9+(($AL$9-$AM$9))*('DB Basis'!F398/10-'DB Basis'!E398),," ")</f>
        <v xml:space="preserve"> </v>
      </c>
      <c r="AO238" s="639">
        <f>IF(U238&gt;0,_xll.xlShmImplSwap2(curveName&amp;T(TYPE($AV$1)),curveName,D238,G238,,1,8,2,4),"")</f>
        <v>1.393930682865312E-2</v>
      </c>
      <c r="AP238" s="640">
        <f t="shared" si="29"/>
        <v>-1.8744325821904613E-3</v>
      </c>
      <c r="AQ238" s="386">
        <f t="shared" si="30"/>
        <v>10.363996178608838</v>
      </c>
      <c r="AR238" s="386">
        <f t="shared" si="31"/>
        <v>6.1941880280829658</v>
      </c>
      <c r="AS238" s="388"/>
      <c r="AT238" s="242">
        <f t="shared" si="32"/>
        <v>1.1899601996511115</v>
      </c>
      <c r="AU238" s="686" t="str">
        <f t="shared" si="27"/>
        <v>OAT  25-May-34  1.25</v>
      </c>
      <c r="AV238" s="702"/>
      <c r="AW238" s="684"/>
      <c r="AX238" s="684"/>
      <c r="AY238" s="684"/>
      <c r="AZ238" s="684"/>
      <c r="BA238" s="684"/>
      <c r="BB238" s="683"/>
      <c r="BC238" s="696"/>
      <c r="BE238" s="706">
        <f>_xll.xlDateShiftMonth(BE237,1)</f>
        <v>50099</v>
      </c>
      <c r="BF238" s="707">
        <v>2.6218243150391639E-2</v>
      </c>
      <c r="BU238" s="133" t="s">
        <v>599</v>
      </c>
      <c r="BV238" s="133" t="s">
        <v>599</v>
      </c>
      <c r="BW238" s="133" t="s">
        <v>599</v>
      </c>
      <c r="BX238" s="133" t="s">
        <v>599</v>
      </c>
      <c r="BY238" s="133" t="s">
        <v>599</v>
      </c>
      <c r="BZ238" s="133" t="s">
        <v>599</v>
      </c>
      <c r="CA238" s="133" t="s">
        <v>599</v>
      </c>
      <c r="CB238" s="133" t="s">
        <v>599</v>
      </c>
      <c r="CC238" s="133" t="s">
        <v>599</v>
      </c>
      <c r="CD238" s="133" t="s">
        <v>599</v>
      </c>
      <c r="CE238" s="133" t="s">
        <v>599</v>
      </c>
      <c r="CF238" s="133" t="s">
        <v>599</v>
      </c>
    </row>
    <row r="239" spans="1:84">
      <c r="A239" s="10"/>
      <c r="B239" s="11"/>
      <c r="C239" s="12"/>
      <c r="D239" s="720">
        <f>MAX(_xll.xlDateSettle("TARGET",$D$4,2),L239)</f>
        <v>43179</v>
      </c>
      <c r="E239" s="718" t="s">
        <v>691</v>
      </c>
      <c r="F239" s="13" t="s">
        <v>1518</v>
      </c>
      <c r="G239" s="35">
        <v>49424</v>
      </c>
      <c r="H239" s="37">
        <v>4.75</v>
      </c>
      <c r="I239" s="11">
        <v>49424</v>
      </c>
      <c r="J239" s="11">
        <v>37736</v>
      </c>
      <c r="K239" s="11">
        <v>38102</v>
      </c>
      <c r="L239" s="11">
        <v>38083</v>
      </c>
      <c r="M239" s="12">
        <v>99.54</v>
      </c>
      <c r="N239" s="12" t="s">
        <v>1607</v>
      </c>
      <c r="O239" s="12" t="s">
        <v>1178</v>
      </c>
      <c r="P239" s="12" t="s">
        <v>1608</v>
      </c>
      <c r="Q239" s="15">
        <v>26678000000</v>
      </c>
      <c r="R239" s="12"/>
      <c r="S239" s="43">
        <f>_xll.RtGet("IDN",$X239,$S$9)</f>
        <v>154.96</v>
      </c>
      <c r="T239" s="43">
        <f>_xll.RtGet("IDN",$X239,$T$9)</f>
        <v>155.1</v>
      </c>
      <c r="U239" s="25">
        <f t="shared" si="33"/>
        <v>155.03</v>
      </c>
      <c r="V239" s="12"/>
      <c r="W239" s="25">
        <f t="shared" si="34"/>
        <v>155.03</v>
      </c>
      <c r="X239" s="14" t="str">
        <f t="shared" si="28"/>
        <v>FR0010070060=</v>
      </c>
      <c r="Y239" s="14"/>
      <c r="Z239" s="14"/>
      <c r="AA239" s="14"/>
      <c r="AB239" s="14"/>
      <c r="AC239" s="14"/>
      <c r="AD239" s="34">
        <f>IF(ISNUMBER($D239),_xll.xlBondYield($F239,$H239,$G239,$J239,$K239,$L239,$M239,$D239,$W239,IF(NOT($H239),TRUE,FALSE)),"")</f>
        <v>1.177667480104494E-2</v>
      </c>
      <c r="AE239" s="12"/>
      <c r="AF239" s="12"/>
      <c r="AG239" s="12"/>
      <c r="AH239" s="14"/>
      <c r="AI239" s="14"/>
      <c r="AJ239" s="14"/>
      <c r="AK239" s="246">
        <f>IF(ISNUMBER($D239),_xll.xlBondAswSpread($F239&amp;T(TYPE($AV$1)),$H239,$G239,$J239,$K239,$L239,$M239,$D239,$W239,IF(NOT($H239),TRUE,FALSE),curveName,curveName,,,2),"")</f>
        <v>-0.2109961172527996</v>
      </c>
      <c r="AL239" s="213">
        <f>IF($W239&gt;0,_xll.xlBondZSpread(F239&amp;T(TYPE($AV$1)),H239,G239,J239,K239,L239,M239,D239,U239,"annual",5,IF(NOT($H239),TRUE,FALSE),curveName)*100,"")</f>
        <v>-16.937406399854808</v>
      </c>
      <c r="AM239" s="266">
        <f>(-IF($AL$9="",VLOOKUP(VLOOKUP(E239,'DB Basis'!$D$2:$H$65205,4,0),Bonds!$AR$1:$AS$6,2,0),$AL$9)*VLOOKUP(E239,'DB Basis'!$D$2:$E$65205,2,0))+IF(V239="",W239,V239)</f>
        <v>-75.646489999999972</v>
      </c>
      <c r="AN239" s="274" t="str">
        <f>IF($AN$9+(($AL$9-$AM$9))*('DB Basis'!F399/10-'DB Basis'!E399),," ")</f>
        <v xml:space="preserve"> </v>
      </c>
      <c r="AO239" s="639">
        <f>IF(U239&gt;0,_xll.xlShmImplSwap2(curveName&amp;T(TYPE($AV$1)),curveName,D239,G239,,1,8,2,4),"")</f>
        <v>1.4247731124633243E-2</v>
      </c>
      <c r="AP239" s="640">
        <f t="shared" si="29"/>
        <v>-2.471056323588303E-3</v>
      </c>
      <c r="AQ239" s="386">
        <f t="shared" si="30"/>
        <v>-3.1400835097751525</v>
      </c>
      <c r="AR239" s="386">
        <f t="shared" si="31"/>
        <v>-6.5005273316481249</v>
      </c>
      <c r="AS239" s="388"/>
      <c r="AT239" s="242">
        <f t="shared" si="32"/>
        <v>1.1615350488701859</v>
      </c>
      <c r="AU239" s="686" t="str">
        <f t="shared" si="27"/>
        <v>OAT  25-Apr-35  4.75</v>
      </c>
      <c r="AV239" s="702"/>
      <c r="AW239" s="684"/>
      <c r="AX239" s="684"/>
      <c r="AY239" s="684"/>
      <c r="AZ239" s="684"/>
      <c r="BA239" s="684"/>
      <c r="BB239" s="683"/>
      <c r="BC239" s="696"/>
      <c r="BE239" s="706">
        <f>_xll.xlDateShiftMonth(BE238,1)</f>
        <v>50127</v>
      </c>
      <c r="BF239" s="707">
        <v>2.6249749071108958E-2</v>
      </c>
      <c r="BU239" s="133" t="s">
        <v>599</v>
      </c>
      <c r="BV239" s="133" t="s">
        <v>599</v>
      </c>
      <c r="BW239" s="133" t="s">
        <v>599</v>
      </c>
      <c r="BX239" s="133" t="s">
        <v>599</v>
      </c>
      <c r="BY239" s="133" t="s">
        <v>599</v>
      </c>
      <c r="BZ239" s="133" t="s">
        <v>599</v>
      </c>
      <c r="CA239" s="133" t="s">
        <v>599</v>
      </c>
      <c r="CB239" s="133" t="s">
        <v>599</v>
      </c>
      <c r="CC239" s="133" t="s">
        <v>599</v>
      </c>
      <c r="CD239" s="133" t="s">
        <v>599</v>
      </c>
      <c r="CE239" s="133" t="s">
        <v>599</v>
      </c>
      <c r="CF239" s="133" t="s">
        <v>599</v>
      </c>
    </row>
    <row r="240" spans="1:84">
      <c r="A240" s="10"/>
      <c r="B240" s="11"/>
      <c r="C240" s="12"/>
      <c r="D240" s="720">
        <f>MAX(_xll.xlDateSettle("TARGET",$D$4,2),L240)</f>
        <v>43179</v>
      </c>
      <c r="E240" s="718" t="s">
        <v>860</v>
      </c>
      <c r="F240" s="13" t="s">
        <v>1518</v>
      </c>
      <c r="G240" s="35">
        <v>49820</v>
      </c>
      <c r="H240" s="37">
        <v>1.25</v>
      </c>
      <c r="I240" s="11">
        <v>49820</v>
      </c>
      <c r="J240" s="11">
        <v>42149</v>
      </c>
      <c r="K240" s="11">
        <v>42515</v>
      </c>
      <c r="L240" s="11">
        <v>42479</v>
      </c>
      <c r="M240" s="12">
        <v>98.944999999999993</v>
      </c>
      <c r="N240" s="12" t="s">
        <v>1609</v>
      </c>
      <c r="O240" s="12" t="s">
        <v>1197</v>
      </c>
      <c r="P240" s="12" t="s">
        <v>1610</v>
      </c>
      <c r="Q240" s="15">
        <v>24283000000</v>
      </c>
      <c r="R240" s="12"/>
      <c r="S240" s="43">
        <f>_xll.RtGet("IDN",$X240,$S$9)</f>
        <v>98.900999999999996</v>
      </c>
      <c r="T240" s="43">
        <f>_xll.RtGet("IDN",$X240,$T$9)</f>
        <v>99.100999999999999</v>
      </c>
      <c r="U240" s="25">
        <f t="shared" si="33"/>
        <v>99.001000000000005</v>
      </c>
      <c r="V240" s="12"/>
      <c r="W240" s="25">
        <f t="shared" si="34"/>
        <v>99.001000000000005</v>
      </c>
      <c r="X240" s="14" t="str">
        <f t="shared" si="28"/>
        <v>FR0013154044=</v>
      </c>
      <c r="Y240" s="14"/>
      <c r="Z240" s="14"/>
      <c r="AA240" s="14"/>
      <c r="AB240" s="14"/>
      <c r="AC240" s="14"/>
      <c r="AD240" s="34">
        <f>IF(ISNUMBER($D240),_xll.xlBondYield($F240,$H240,$G240,$J240,$K240,$L240,$M240,$D240,$W240,IF(NOT($H240),TRUE,FALSE)),"")</f>
        <v>1.3120431222188061E-2</v>
      </c>
      <c r="AE240" s="12"/>
      <c r="AF240" s="12"/>
      <c r="AG240" s="12"/>
      <c r="AH240" s="14"/>
      <c r="AI240" s="14"/>
      <c r="AJ240" s="14"/>
      <c r="AK240" s="246">
        <f>IF(ISNUMBER($D240),_xll.xlBondAswSpread($F240&amp;T(TYPE($AV$1)),$H240,$G240,$J240,$K240,$L240,$M240,$D240,$W240,IF(NOT($H240),TRUE,FALSE),curveName,curveName,,,2),"")</f>
        <v>-0.14103487205971857</v>
      </c>
      <c r="AL240" s="213">
        <f>IF($W240&gt;0,_xll.xlBondZSpread(F240&amp;T(TYPE($AV$1)),H240,G240,J240,K240,L240,M240,D240,U240,"annual",5,IF(NOT($H240),TRUE,FALSE),curveName)*100,"")</f>
        <v>-14.941584137195605</v>
      </c>
      <c r="AM240" s="266">
        <f>(-IF($AL$9="",VLOOKUP(VLOOKUP(E240,'DB Basis'!$D$2:$H$65205,4,0),Bonds!$AR$1:$AS$6,2,0),$AL$9)*VLOOKUP(E240,'DB Basis'!$D$2:$E$65205,2,0))+IF(V240="",W240,V240)</f>
        <v>-82.693089999999984</v>
      </c>
      <c r="AN240" s="274" t="str">
        <f>IF($AN$9+(($AL$9-$AM$9))*('DB Basis'!F400/10-'DB Basis'!E400),," ")</f>
        <v xml:space="preserve"> </v>
      </c>
      <c r="AO240" s="639">
        <f>IF(U240&gt;0,_xll.xlShmImplSwap2(curveName&amp;T(TYPE($AV$1)),curveName,D240,G240,,1,8,2,4),"")</f>
        <v>1.4544342873864094E-2</v>
      </c>
      <c r="AP240" s="640">
        <f t="shared" si="29"/>
        <v>-1.4239116516760325E-3</v>
      </c>
      <c r="AQ240" s="386">
        <f t="shared" si="30"/>
        <v>12.385633679728272</v>
      </c>
      <c r="AR240" s="386">
        <f t="shared" si="31"/>
        <v>9.6517122537368358</v>
      </c>
      <c r="AS240" s="388"/>
      <c r="AT240" s="242">
        <f t="shared" si="32"/>
        <v>1.294069928763754</v>
      </c>
      <c r="AU240" s="686" t="str">
        <f t="shared" si="27"/>
        <v>OAT  25-May-36  1.25</v>
      </c>
      <c r="AV240" s="702"/>
      <c r="AW240" s="684"/>
      <c r="AX240" s="684"/>
      <c r="AY240" s="684"/>
      <c r="AZ240" s="684"/>
      <c r="BA240" s="684"/>
      <c r="BB240" s="683"/>
      <c r="BC240" s="696"/>
      <c r="BE240" s="706">
        <f>_xll.xlDateShiftMonth(BE239,1)</f>
        <v>50158</v>
      </c>
      <c r="BF240" s="707">
        <v>2.6284666786131956E-2</v>
      </c>
      <c r="BU240" s="133" t="s">
        <v>599</v>
      </c>
      <c r="BV240" s="133" t="s">
        <v>599</v>
      </c>
      <c r="BW240" s="133" t="s">
        <v>599</v>
      </c>
      <c r="BX240" s="133" t="s">
        <v>599</v>
      </c>
      <c r="BY240" s="133" t="s">
        <v>599</v>
      </c>
      <c r="BZ240" s="133" t="s">
        <v>599</v>
      </c>
      <c r="CA240" s="133" t="s">
        <v>599</v>
      </c>
      <c r="CB240" s="133" t="s">
        <v>599</v>
      </c>
      <c r="CC240" s="133" t="s">
        <v>599</v>
      </c>
      <c r="CD240" s="133" t="s">
        <v>599</v>
      </c>
      <c r="CE240" s="133" t="s">
        <v>599</v>
      </c>
      <c r="CF240" s="133" t="s">
        <v>599</v>
      </c>
    </row>
    <row r="241" spans="1:84">
      <c r="A241" s="10"/>
      <c r="B241" s="11"/>
      <c r="C241" s="12"/>
      <c r="D241" s="720">
        <f>MAX(_xll.xlDateSettle("TARGET",$D$4,2),L241)</f>
        <v>43179</v>
      </c>
      <c r="E241" s="718" t="s">
        <v>692</v>
      </c>
      <c r="F241" s="13" t="s">
        <v>1518</v>
      </c>
      <c r="G241" s="35">
        <v>50703</v>
      </c>
      <c r="H241" s="37">
        <v>4</v>
      </c>
      <c r="I241" s="11">
        <v>50703</v>
      </c>
      <c r="J241" s="11">
        <v>38650</v>
      </c>
      <c r="K241" s="11">
        <v>39015</v>
      </c>
      <c r="L241" s="11">
        <v>38972</v>
      </c>
      <c r="M241" s="12">
        <v>98.25</v>
      </c>
      <c r="N241" s="12" t="s">
        <v>1611</v>
      </c>
      <c r="O241" s="12" t="s">
        <v>1178</v>
      </c>
      <c r="P241" s="12" t="s">
        <v>1612</v>
      </c>
      <c r="Q241" s="15">
        <v>26534000000</v>
      </c>
      <c r="R241" s="12"/>
      <c r="S241" s="43">
        <f>_xll.RtGet("IDN",$X241,$S$9)</f>
        <v>147.684</v>
      </c>
      <c r="T241" s="43">
        <f>_xll.RtGet("IDN",$X241,$T$9)</f>
        <v>147.82400000000001</v>
      </c>
      <c r="U241" s="25">
        <f t="shared" si="33"/>
        <v>147.75400000000002</v>
      </c>
      <c r="V241" s="12"/>
      <c r="W241" s="25">
        <f t="shared" si="34"/>
        <v>147.75400000000002</v>
      </c>
      <c r="X241" s="14" t="str">
        <f t="shared" si="28"/>
        <v>FR0010371401=</v>
      </c>
      <c r="Y241" s="14"/>
      <c r="Z241" s="14"/>
      <c r="AA241" s="14"/>
      <c r="AB241" s="14"/>
      <c r="AC241" s="14"/>
      <c r="AD241" s="34">
        <f>IF(ISNUMBER($D241),_xll.xlBondYield($F241,$H241,$G241,$J241,$K241,$L241,$M241,$D241,$W241,IF(NOT($H241),TRUE,FALSE)),"")</f>
        <v>1.3332678285473205E-2</v>
      </c>
      <c r="AE241" s="12"/>
      <c r="AF241" s="12"/>
      <c r="AG241" s="12"/>
      <c r="AH241" s="14"/>
      <c r="AI241" s="14"/>
      <c r="AJ241" s="14"/>
      <c r="AK241" s="246">
        <f>IF(ISNUMBER($D241),_xll.xlBondAswSpread($F241&amp;T(TYPE($AV$1)),$H241,$G241,$J241,$K241,$L241,$M241,$D241,$W241,IF(NOT($H241),TRUE,FALSE),curveName,curveName,,,2),"")</f>
        <v>-0.12719775582860054</v>
      </c>
      <c r="AL241" s="213">
        <f>IF($W241&gt;0,_xll.xlBondZSpread(F241&amp;T(TYPE($AV$1)),H241,G241,J241,K241,L241,M241,D241,U241,"annual",5,IF(NOT($H241),TRUE,FALSE),curveName)*100,"")</f>
        <v>-10.539368673140416</v>
      </c>
      <c r="AM241" s="266">
        <f>(-IF($AL$9="",VLOOKUP(VLOOKUP(E241,'DB Basis'!$D$2:$H$65205,4,0),Bonds!$AR$1:$AS$6,2,0),$AL$9)*VLOOKUP(E241,'DB Basis'!$D$2:$E$65205,2,0))+IF(V241="",W241,V241)</f>
        <v>-111.39350999999999</v>
      </c>
      <c r="AN241" s="274" t="str">
        <f>IF($AN$9+(($AL$9-$AM$9))*('DB Basis'!F401/10-'DB Basis'!E401),," ")</f>
        <v xml:space="preserve"> </v>
      </c>
      <c r="AO241" s="639">
        <f>IF(U241&gt;0,_xll.xlShmImplSwap2(curveName&amp;T(TYPE($AV$1)),curveName,D241,G241,,1,8,2,4),"")</f>
        <v>1.4994693306835685E-2</v>
      </c>
      <c r="AP241" s="640">
        <f t="shared" si="29"/>
        <v>-1.6620150213624806E-3</v>
      </c>
      <c r="AQ241" s="386">
        <f t="shared" si="30"/>
        <v>0.87735196035195118</v>
      </c>
      <c r="AR241" s="386">
        <f t="shared" si="31"/>
        <v>-0.98423250210139912</v>
      </c>
      <c r="AS241" s="388"/>
      <c r="AT241" s="242">
        <f t="shared" si="32"/>
        <v>1.315003885690508</v>
      </c>
      <c r="AU241" s="686" t="str">
        <f t="shared" si="27"/>
        <v>OAT  25-Oct-38  4</v>
      </c>
      <c r="AV241" s="702"/>
      <c r="AW241" s="684"/>
      <c r="AX241" s="684"/>
      <c r="AY241" s="684"/>
      <c r="AZ241" s="684"/>
      <c r="BA241" s="684"/>
      <c r="BB241" s="683"/>
      <c r="BC241" s="696"/>
      <c r="BE241" s="706">
        <f>_xll.xlDateShiftMonth(BE240,1)</f>
        <v>50188</v>
      </c>
      <c r="BF241" s="707">
        <v>2.6318513469598338E-2</v>
      </c>
      <c r="BU241" s="133" t="s">
        <v>599</v>
      </c>
      <c r="BV241" s="133" t="s">
        <v>599</v>
      </c>
      <c r="BW241" s="133" t="s">
        <v>599</v>
      </c>
      <c r="BX241" s="133" t="s">
        <v>599</v>
      </c>
      <c r="BY241" s="133" t="s">
        <v>599</v>
      </c>
      <c r="BZ241" s="133" t="s">
        <v>599</v>
      </c>
      <c r="CA241" s="133" t="s">
        <v>599</v>
      </c>
      <c r="CB241" s="133" t="s">
        <v>599</v>
      </c>
      <c r="CC241" s="133" t="s">
        <v>599</v>
      </c>
      <c r="CD241" s="133" t="s">
        <v>599</v>
      </c>
      <c r="CE241" s="133" t="s">
        <v>599</v>
      </c>
      <c r="CF241" s="133" t="s">
        <v>599</v>
      </c>
    </row>
    <row r="242" spans="1:84">
      <c r="A242" s="10"/>
      <c r="B242" s="11"/>
      <c r="C242" s="12"/>
      <c r="D242" s="720">
        <f>MAX(_xll.xlDateSettle("TARGET",$D$4,2),L242)</f>
        <v>43179</v>
      </c>
      <c r="E242" s="718" t="s">
        <v>925</v>
      </c>
      <c r="F242" s="13" t="s">
        <v>1518</v>
      </c>
      <c r="G242" s="35">
        <v>50946</v>
      </c>
      <c r="H242" s="37">
        <v>1.75</v>
      </c>
      <c r="I242" s="11">
        <v>50946</v>
      </c>
      <c r="J242" s="11">
        <v>42546</v>
      </c>
      <c r="K242" s="11">
        <v>42911</v>
      </c>
      <c r="L242" s="11">
        <v>42766</v>
      </c>
      <c r="M242" s="12">
        <v>999</v>
      </c>
      <c r="N242" s="12" t="s">
        <v>1613</v>
      </c>
      <c r="O242" s="12" t="s">
        <v>1178</v>
      </c>
      <c r="P242" s="12" t="s">
        <v>1614</v>
      </c>
      <c r="Q242" s="15">
        <v>9697000000</v>
      </c>
      <c r="R242" s="12"/>
      <c r="S242" s="43">
        <f>_xll.RtGet("IDN",$X242,$S$9)</f>
        <v>106.038</v>
      </c>
      <c r="T242" s="43">
        <f>_xll.RtGet("IDN",$X242,$T$9)</f>
        <v>106.238</v>
      </c>
      <c r="U242" s="25">
        <f t="shared" si="33"/>
        <v>106.13800000000001</v>
      </c>
      <c r="V242" s="12"/>
      <c r="W242" s="25">
        <f t="shared" si="34"/>
        <v>106.13800000000001</v>
      </c>
      <c r="X242" s="14" t="str">
        <f t="shared" si="28"/>
        <v>FR0013234333=</v>
      </c>
      <c r="Y242" s="14"/>
      <c r="Z242" s="14"/>
      <c r="AA242" s="14"/>
      <c r="AB242" s="14"/>
      <c r="AC242" s="14"/>
      <c r="AD242" s="34">
        <f>IF(ISNUMBER($D242),_xll.xlBondYield($F242,$H242,$G242,$J242,$K242,$L242,$M242,$D242,$W242,IF(NOT($H242),TRUE,FALSE)),"")</f>
        <v>1.41365592209645E-2</v>
      </c>
      <c r="AE242" s="12"/>
      <c r="AF242" s="12"/>
      <c r="AG242" s="12"/>
      <c r="AH242" s="14"/>
      <c r="AI242" s="14"/>
      <c r="AJ242" s="14"/>
      <c r="AK242" s="246">
        <f>IF(ISNUMBER($D242),_xll.xlBondAswSpread($F242&amp;T(TYPE($AV$1)),$H242,$G242,$J242,$K242,$L242,$M242,$D242,$W242,IF(NOT($H242),TRUE,FALSE),curveName,curveName,,,2),"")</f>
        <v>-8.5833333802979778E-2</v>
      </c>
      <c r="AL242" s="213">
        <f>IF($W242&gt;0,_xll.xlBondZSpread(F242&amp;T(TYPE($AV$1)),H242,G242,J242,K242,L242,M242,D242,U242,"annual",5,IF(NOT($H242),TRUE,FALSE),curveName)*100,"")</f>
        <v>-8.7394836573585071</v>
      </c>
      <c r="AM242" s="266">
        <f>(-IF($AL$9="",VLOOKUP(VLOOKUP(E242,'DB Basis'!$D$2:$H$65205,4,0),Bonds!$AR$1:$AS$6,2,0),$AL$9)*VLOOKUP(E242,'DB Basis'!$D$2:$E$65205,2,0))+IF(V242="",W242,V242)</f>
        <v>-108.15999999999997</v>
      </c>
      <c r="AN242" s="274" t="str">
        <f>IF($AN$9+(($AL$9-$AM$9))*('DB Basis'!F402/10-'DB Basis'!E402),," ")</f>
        <v xml:space="preserve"> </v>
      </c>
      <c r="AO242" s="639">
        <f>IF(U242&gt;0,_xll.xlShmImplSwap2(curveName&amp;T(TYPE($AV$1)),curveName,D242,G242,,1,8,2,4),"")</f>
        <v>1.5079214266565355E-2</v>
      </c>
      <c r="AP242" s="640">
        <f t="shared" si="29"/>
        <v>-9.4265504560085527E-4</v>
      </c>
      <c r="AQ242" s="386">
        <f t="shared" si="30"/>
        <v>12.074754792358963</v>
      </c>
      <c r="AR242" s="386">
        <f t="shared" si="31"/>
        <v>10.805201282016181</v>
      </c>
      <c r="AS242" s="388"/>
      <c r="AT242" s="242">
        <f t="shared" si="32"/>
        <v>1.3942907724786904</v>
      </c>
      <c r="AU242" s="686" t="str">
        <f t="shared" si="27"/>
        <v>OAT  25-Jun-39  1.75</v>
      </c>
      <c r="AV242" s="702"/>
      <c r="AW242" s="684"/>
      <c r="AX242" s="684"/>
      <c r="AY242" s="684"/>
      <c r="AZ242" s="684"/>
      <c r="BA242" s="684"/>
      <c r="BB242" s="683"/>
      <c r="BC242" s="696"/>
      <c r="BE242" s="706">
        <f>_xll.xlDateShiftMonth(BE241,1)</f>
        <v>50219</v>
      </c>
      <c r="BF242" s="707">
        <v>2.6353566040196088E-2</v>
      </c>
      <c r="BU242" s="133" t="s">
        <v>599</v>
      </c>
      <c r="BV242" s="133" t="s">
        <v>599</v>
      </c>
      <c r="BW242" s="133" t="s">
        <v>599</v>
      </c>
      <c r="BX242" s="133" t="s">
        <v>599</v>
      </c>
      <c r="BY242" s="133" t="s">
        <v>599</v>
      </c>
      <c r="BZ242" s="133" t="s">
        <v>599</v>
      </c>
      <c r="CA242" s="133" t="s">
        <v>599</v>
      </c>
      <c r="CB242" s="133" t="s">
        <v>599</v>
      </c>
      <c r="CC242" s="133" t="s">
        <v>599</v>
      </c>
      <c r="CD242" s="133" t="s">
        <v>599</v>
      </c>
      <c r="CE242" s="133" t="s">
        <v>599</v>
      </c>
      <c r="CF242" s="133" t="s">
        <v>599</v>
      </c>
    </row>
    <row r="243" spans="1:84">
      <c r="A243" s="10"/>
      <c r="B243" s="11"/>
      <c r="C243" s="12"/>
      <c r="D243" s="720">
        <f>MAX(_xll.xlDateSettle("TARGET",$D$4,2),L243)</f>
        <v>43179</v>
      </c>
      <c r="E243" s="718" t="s">
        <v>693</v>
      </c>
      <c r="F243" s="13" t="s">
        <v>1518</v>
      </c>
      <c r="G243" s="35">
        <v>51616</v>
      </c>
      <c r="H243" s="37">
        <v>4.5</v>
      </c>
      <c r="I243" s="11">
        <v>51616</v>
      </c>
      <c r="J243" s="11">
        <v>39928</v>
      </c>
      <c r="K243" s="11">
        <v>40293</v>
      </c>
      <c r="L243" s="11">
        <v>39994</v>
      </c>
      <c r="M243" s="12">
        <v>99.567999999999998</v>
      </c>
      <c r="N243" s="12" t="s">
        <v>1615</v>
      </c>
      <c r="O243" s="12" t="s">
        <v>1197</v>
      </c>
      <c r="P243" s="12" t="s">
        <v>1616</v>
      </c>
      <c r="Q243" s="15">
        <v>33670000000</v>
      </c>
      <c r="R243" s="12"/>
      <c r="S243" s="43">
        <f>_xll.RtGet("IDN",$X243,$S$9)</f>
        <v>160.51400000000001</v>
      </c>
      <c r="T243" s="43">
        <f>_xll.RtGet("IDN",$X243,$T$9)</f>
        <v>160.63400000000001</v>
      </c>
      <c r="U243" s="25">
        <f t="shared" si="33"/>
        <v>160.57400000000001</v>
      </c>
      <c r="V243" s="12"/>
      <c r="W243" s="25">
        <f t="shared" si="34"/>
        <v>160.57400000000001</v>
      </c>
      <c r="X243" s="14" t="str">
        <f t="shared" si="28"/>
        <v>FR0010773192=</v>
      </c>
      <c r="Y243" s="14"/>
      <c r="Z243" s="14"/>
      <c r="AA243" s="14"/>
      <c r="AB243" s="14"/>
      <c r="AC243" s="14"/>
      <c r="AD243" s="34">
        <f>IF(ISNUMBER($D243),_xll.xlBondYield($F243,$H243,$G243,$J243,$K243,$L243,$M243,$D243,$W243,IF(NOT($H243),TRUE,FALSE)),"")</f>
        <v>1.4092496365596865E-2</v>
      </c>
      <c r="AE243" s="12"/>
      <c r="AF243" s="12"/>
      <c r="AG243" s="12"/>
      <c r="AH243" s="14"/>
      <c r="AI243" s="14"/>
      <c r="AJ243" s="14"/>
      <c r="AK243" s="246">
        <f>IF(ISNUMBER($D243),_xll.xlBondAswSpread($F243&amp;T(TYPE($AV$1)),$H243,$G243,$J243,$K243,$L243,$M243,$D243,$W243,IF(NOT($H243),TRUE,FALSE),curveName,curveName,,,2),"")</f>
        <v>-6.3656414313762621E-2</v>
      </c>
      <c r="AL243" s="213">
        <f>IF($W243&gt;0,_xll.xlBondZSpread(F243&amp;T(TYPE($AV$1)),H243,G243,J243,K243,L243,M243,D243,U243,"annual",5,IF(NOT($H243),TRUE,FALSE),curveName)*100,"")</f>
        <v>-4.9745267164689739</v>
      </c>
      <c r="AM243" s="266">
        <f>(-IF($AL$9="",VLOOKUP(VLOOKUP(E243,'DB Basis'!$D$2:$H$65205,4,0),Bonds!$AR$1:$AS$6,2,0),$AL$9)*VLOOKUP(E243,'DB Basis'!$D$2:$E$65205,2,0))+IF(V243="",W243,V243)</f>
        <v>-138.98399000000001</v>
      </c>
      <c r="AN243" s="274" t="str">
        <f>IF($AN$9+(($AL$9-$AM$9))*('DB Basis'!F403/10-'DB Basis'!E403),," ")</f>
        <v xml:space="preserve"> </v>
      </c>
      <c r="AO243" s="639">
        <f>IF(U243&gt;0,_xll.xlShmImplSwap2(curveName&amp;T(TYPE($AV$1)),curveName,D243,G243,,1,8,2,4),"")</f>
        <v>1.523608236732346E-2</v>
      </c>
      <c r="AP243" s="640">
        <f t="shared" si="29"/>
        <v>-1.1435860017265948E-3</v>
      </c>
      <c r="AQ243" s="386">
        <f t="shared" si="30"/>
        <v>-0.24004391356995361</v>
      </c>
      <c r="AR243" s="386">
        <f t="shared" si="31"/>
        <v>-1.0946238654611185</v>
      </c>
      <c r="AS243" s="388"/>
      <c r="AT243" s="242">
        <f t="shared" si="32"/>
        <v>1.3899448470177731</v>
      </c>
      <c r="AU243" s="686" t="str">
        <f t="shared" si="27"/>
        <v>OAT  25-Apr-41  4.5</v>
      </c>
      <c r="AV243" s="702"/>
      <c r="AW243" s="684"/>
      <c r="AX243" s="684"/>
      <c r="AY243" s="684"/>
      <c r="AZ243" s="684"/>
      <c r="BA243" s="684"/>
      <c r="BB243" s="683"/>
      <c r="BC243" s="696"/>
      <c r="BE243" s="706">
        <f>_xll.xlDateShiftMonth(BE242,1)</f>
        <v>50249</v>
      </c>
      <c r="BF243" s="707">
        <v>2.6387582639102385E-2</v>
      </c>
      <c r="BU243" s="133" t="s">
        <v>599</v>
      </c>
      <c r="BV243" s="133" t="s">
        <v>599</v>
      </c>
      <c r="BW243" s="133" t="s">
        <v>599</v>
      </c>
      <c r="BX243" s="133" t="s">
        <v>599</v>
      </c>
      <c r="BY243" s="133" t="s">
        <v>599</v>
      </c>
      <c r="BZ243" s="133" t="s">
        <v>599</v>
      </c>
      <c r="CA243" s="133" t="s">
        <v>599</v>
      </c>
      <c r="CB243" s="133" t="s">
        <v>599</v>
      </c>
      <c r="CC243" s="133" t="s">
        <v>599</v>
      </c>
      <c r="CD243" s="133" t="s">
        <v>599</v>
      </c>
      <c r="CE243" s="133" t="s">
        <v>599</v>
      </c>
      <c r="CF243" s="133" t="s">
        <v>599</v>
      </c>
    </row>
    <row r="244" spans="1:84">
      <c r="A244" s="10"/>
      <c r="B244" s="11"/>
      <c r="C244" s="12"/>
      <c r="D244" s="720">
        <f>MAX(_xll.xlDateSettle("TARGET",$D$4,2),L244)</f>
        <v>43179</v>
      </c>
      <c r="E244" s="718" t="s">
        <v>694</v>
      </c>
      <c r="F244" s="13" t="s">
        <v>1518</v>
      </c>
      <c r="G244" s="35">
        <v>53107</v>
      </c>
      <c r="H244" s="37">
        <v>3.25</v>
      </c>
      <c r="I244" s="11">
        <v>53107</v>
      </c>
      <c r="J244" s="11">
        <v>41054</v>
      </c>
      <c r="K244" s="11">
        <v>41419</v>
      </c>
      <c r="L244" s="11">
        <v>41368</v>
      </c>
      <c r="M244" s="12">
        <v>99.736999999999995</v>
      </c>
      <c r="N244" s="12" t="s">
        <v>1617</v>
      </c>
      <c r="O244" s="12" t="s">
        <v>1178</v>
      </c>
      <c r="P244" s="12" t="s">
        <v>1618</v>
      </c>
      <c r="Q244" s="15">
        <v>24908000000</v>
      </c>
      <c r="R244" s="12"/>
      <c r="S244" s="43">
        <f>_xll.RtGet("IDN",$X244,$S$9)</f>
        <v>137.05199999999999</v>
      </c>
      <c r="T244" s="43">
        <f>_xll.RtGet("IDN",$X244,$T$9)</f>
        <v>137.35</v>
      </c>
      <c r="U244" s="25">
        <f t="shared" si="33"/>
        <v>137.20099999999999</v>
      </c>
      <c r="V244" s="12"/>
      <c r="W244" s="25">
        <f t="shared" si="34"/>
        <v>137.20099999999999</v>
      </c>
      <c r="X244" s="14" t="str">
        <f t="shared" si="28"/>
        <v>FR0011461037=</v>
      </c>
      <c r="Y244" s="14"/>
      <c r="Z244" s="14"/>
      <c r="AA244" s="14"/>
      <c r="AB244" s="14"/>
      <c r="AC244" s="14"/>
      <c r="AD244" s="34">
        <f>IF(ISNUMBER($D244),_xll.xlBondYield($F244,$H244,$G244,$J244,$K244,$L244,$M244,$D244,$W244,IF(NOT($H244),TRUE,FALSE)),"")</f>
        <v>1.5600761070710362E-2</v>
      </c>
      <c r="AE244" s="12"/>
      <c r="AF244" s="12"/>
      <c r="AG244" s="12"/>
      <c r="AH244" s="14"/>
      <c r="AI244" s="14"/>
      <c r="AJ244" s="14"/>
      <c r="AK244" s="246">
        <f>IF(ISNUMBER($D244),_xll.xlBondAswSpread($F244&amp;T(TYPE($AV$1)),$H244,$G244,$J244,$K244,$L244,$M244,$D244,$W244,IF(NOT($H244),TRUE,FALSE),curveName,curveName,,,2),"")</f>
        <v>7.1424875514299907E-2</v>
      </c>
      <c r="AL244" s="213">
        <f>IF($W244&gt;0,_xll.xlBondZSpread(F244&amp;T(TYPE($AV$1)),H244,G244,J244,K244,L244,M244,D244,U244,"annual",5,IF(NOT($H244),TRUE,FALSE),curveName)*100,"")</f>
        <v>6.1728617675762507</v>
      </c>
      <c r="AM244" s="266">
        <f>(-IF($AL$9="",VLOOKUP(VLOOKUP(E244,'DB Basis'!$D$2:$H$65205,4,0),Bonds!$AR$1:$AS$6,2,0),$AL$9)*VLOOKUP(E244,'DB Basis'!$D$2:$E$65205,2,0))+IF(V244="",W244,V244)</f>
        <v>-165.41839000000002</v>
      </c>
      <c r="AN244" s="274" t="str">
        <f>IF($AN$9+(($AL$9-$AM$9))*('DB Basis'!F404/10-'DB Basis'!E404),," ")</f>
        <v xml:space="preserve"> </v>
      </c>
      <c r="AO244" s="639">
        <f>IF(U244&gt;0,_xll.xlShmImplSwap2(curveName&amp;T(TYPE($AV$1)),curveName,D244,G244,,1,8,2,4),"")</f>
        <v>1.5346165547491053E-2</v>
      </c>
      <c r="AP244" s="640">
        <f t="shared" si="29"/>
        <v>2.5459552321930971E-4</v>
      </c>
      <c r="AQ244" s="386">
        <f t="shared" si="30"/>
        <v>3.6922643686547723</v>
      </c>
      <c r="AR244" s="386">
        <f t="shared" si="31"/>
        <v>3.4227783809876269</v>
      </c>
      <c r="AS244" s="388"/>
      <c r="AT244" s="242">
        <f t="shared" si="32"/>
        <v>1.5387052014947209</v>
      </c>
      <c r="AU244" s="686" t="str">
        <f t="shared" si="27"/>
        <v>OAT  25-May-45  3.25</v>
      </c>
      <c r="AV244" s="702"/>
      <c r="AW244" s="684"/>
      <c r="AX244" s="684"/>
      <c r="AY244" s="684"/>
      <c r="AZ244" s="684"/>
      <c r="BA244" s="684"/>
      <c r="BB244" s="683"/>
      <c r="BC244" s="696"/>
      <c r="BE244" s="706">
        <f>_xll.xlDateShiftMonth(BE243,1)</f>
        <v>50280</v>
      </c>
      <c r="BF244" s="707">
        <v>2.6422851512701215E-2</v>
      </c>
      <c r="BU244" s="133" t="s">
        <v>599</v>
      </c>
      <c r="BV244" s="133" t="s">
        <v>599</v>
      </c>
      <c r="BW244" s="133" t="s">
        <v>599</v>
      </c>
      <c r="BX244" s="133" t="s">
        <v>599</v>
      </c>
      <c r="BY244" s="133" t="s">
        <v>599</v>
      </c>
      <c r="BZ244" s="133" t="s">
        <v>599</v>
      </c>
      <c r="CA244" s="133" t="s">
        <v>599</v>
      </c>
      <c r="CB244" s="133" t="s">
        <v>599</v>
      </c>
      <c r="CC244" s="133" t="s">
        <v>599</v>
      </c>
      <c r="CD244" s="133" t="s">
        <v>599</v>
      </c>
      <c r="CE244" s="133" t="s">
        <v>599</v>
      </c>
      <c r="CF244" s="133" t="s">
        <v>599</v>
      </c>
    </row>
    <row r="245" spans="1:84">
      <c r="A245" s="10"/>
      <c r="B245" s="11"/>
      <c r="C245" s="12"/>
      <c r="D245" s="720">
        <f>MAX(_xll.xlDateSettle("TARGET",$D$4,2),L245)</f>
        <v>43179</v>
      </c>
      <c r="E245" s="718" t="s">
        <v>1642</v>
      </c>
      <c r="F245" s="13" t="s">
        <v>1518</v>
      </c>
      <c r="G245" s="35">
        <v>53898</v>
      </c>
      <c r="H245" s="37">
        <v>0.1</v>
      </c>
      <c r="I245" s="11">
        <v>53898</v>
      </c>
      <c r="J245" s="11">
        <v>42576</v>
      </c>
      <c r="K245" s="11">
        <v>42941</v>
      </c>
      <c r="L245" s="11">
        <v>42648</v>
      </c>
      <c r="M245" s="12">
        <v>111.628</v>
      </c>
      <c r="N245" s="12" t="s">
        <v>1619</v>
      </c>
      <c r="O245" s="12" t="s">
        <v>1178</v>
      </c>
      <c r="P245" s="12" t="s">
        <v>1620</v>
      </c>
      <c r="Q245" s="15">
        <v>7261000000</v>
      </c>
      <c r="R245" s="12"/>
      <c r="S245" s="43">
        <f>_xll.RtGet("IDN",$X245,$S$9)</f>
        <v>106.03</v>
      </c>
      <c r="T245" s="43">
        <f>_xll.RtGet("IDN",$X245,$T$9)</f>
        <v>106.48</v>
      </c>
      <c r="U245" s="25">
        <f t="shared" si="33"/>
        <v>106.255</v>
      </c>
      <c r="V245" s="12"/>
      <c r="W245" s="25">
        <f t="shared" si="34"/>
        <v>106.255</v>
      </c>
      <c r="X245" s="14" t="str">
        <f t="shared" si="28"/>
        <v>FR0013209871=</v>
      </c>
      <c r="Y245" s="14"/>
      <c r="Z245" s="14"/>
      <c r="AA245" s="14"/>
      <c r="AB245" s="14"/>
      <c r="AC245" s="14"/>
      <c r="AD245" s="34">
        <f>IF(ISNUMBER($D245),_xll.xlBondYield($F245,$H245,$G245,$J245,$K245,$L245,$M245,$D245,$W245,IF(NOT($H245),TRUE,FALSE)),"")</f>
        <v>-1.0959902455003391E-3</v>
      </c>
      <c r="AE245" s="12"/>
      <c r="AF245" s="12"/>
      <c r="AG245" s="12"/>
      <c r="AH245" s="14"/>
      <c r="AI245" s="14"/>
      <c r="AJ245" s="14"/>
      <c r="AK245" s="246">
        <f>IF(ISNUMBER($D245),_xll.xlBondAswSpread($F245&amp;T(TYPE($AV$1)),$H245,$G245,$J245,$K245,$L245,$M245,$D245,$W245,IF(NOT($H245),TRUE,FALSE),curveName,curveName,,,2),"")</f>
        <v>-1.6653040615341494</v>
      </c>
      <c r="AL245" s="213">
        <f>IF($W245&gt;0,_xll.xlBondZSpread(F245&amp;T(TYPE($AV$1)),H245,G245,J245,K245,L245,M245,D245,U245,"annual",5,IF(NOT($H245),TRUE,FALSE),curveName)*100,"")</f>
        <v>-168.71419837121945</v>
      </c>
      <c r="AM245" s="266" t="e">
        <f>(-IF($AL$9="",VLOOKUP(VLOOKUP(E245,'DB Basis'!$D$2:$H$65205,4,0),Bonds!$AR$1:$AS$6,2,0),$AL$9)*VLOOKUP(E245,'DB Basis'!$D$2:$E$65205,2,0))+IF(V245="",W245,V245)</f>
        <v>#N/A</v>
      </c>
      <c r="AN245" s="274" t="str">
        <f>IF($AN$9+(($AL$9-$AM$9))*('DB Basis'!F405/10-'DB Basis'!E405),," ")</f>
        <v xml:space="preserve"> </v>
      </c>
      <c r="AO245" s="639">
        <f>IF(U245&gt;0,_xll.xlShmImplSwap2(curveName&amp;T(TYPE($AV$1)),curveName,D245,G245,,1,8,2,4),"")</f>
        <v>1.5358827188480988E-2</v>
      </c>
      <c r="AP245" s="640">
        <f t="shared" si="29"/>
        <v>-1.6454817433981327E-2</v>
      </c>
      <c r="AQ245" s="386">
        <f t="shared" si="30"/>
        <v>-77.045691914246603</v>
      </c>
      <c r="AR245" s="386">
        <f t="shared" si="31"/>
        <v>-77.104117944099031</v>
      </c>
      <c r="AS245" s="388"/>
      <c r="AT245" s="242">
        <f t="shared" si="32"/>
        <v>-0.10809766804934851</v>
      </c>
      <c r="AU245" s="686" t="str">
        <f t="shared" si="27"/>
        <v>OAT  25-Jul-47  0.1</v>
      </c>
      <c r="AV245" s="702"/>
      <c r="AW245" s="684"/>
      <c r="AX245" s="684"/>
      <c r="AY245" s="684"/>
      <c r="AZ245" s="684"/>
      <c r="BA245" s="684"/>
      <c r="BB245" s="683"/>
      <c r="BC245" s="696"/>
      <c r="BE245" s="706">
        <f>_xll.xlDateShiftMonth(BE244,1)</f>
        <v>50311</v>
      </c>
      <c r="BF245" s="707">
        <v>2.645826152389881E-2</v>
      </c>
      <c r="BU245" s="133" t="s">
        <v>599</v>
      </c>
      <c r="BV245" s="133" t="s">
        <v>599</v>
      </c>
      <c r="BW245" s="133" t="s">
        <v>599</v>
      </c>
      <c r="BX245" s="133" t="s">
        <v>599</v>
      </c>
      <c r="BY245" s="133" t="s">
        <v>599</v>
      </c>
      <c r="BZ245" s="133" t="s">
        <v>599</v>
      </c>
      <c r="CA245" s="133" t="s">
        <v>599</v>
      </c>
      <c r="CB245" s="133" t="s">
        <v>599</v>
      </c>
      <c r="CC245" s="133" t="s">
        <v>599</v>
      </c>
      <c r="CD245" s="133" t="s">
        <v>599</v>
      </c>
      <c r="CE245" s="133" t="s">
        <v>599</v>
      </c>
      <c r="CF245" s="133" t="s">
        <v>599</v>
      </c>
    </row>
    <row r="246" spans="1:84">
      <c r="A246" s="10"/>
      <c r="B246" s="11"/>
      <c r="C246" s="12"/>
      <c r="D246" s="720">
        <f>MAX(_xll.xlDateSettle("TARGET",$D$4,2),L246)</f>
        <v>43179</v>
      </c>
      <c r="E246" s="718" t="s">
        <v>979</v>
      </c>
      <c r="F246" s="13" t="s">
        <v>1518</v>
      </c>
      <c r="G246" s="35">
        <v>54203</v>
      </c>
      <c r="H246" s="37">
        <v>2</v>
      </c>
      <c r="I246" s="11">
        <v>54203</v>
      </c>
      <c r="J246" s="11">
        <v>42880</v>
      </c>
      <c r="K246" s="11">
        <v>43245</v>
      </c>
      <c r="L246" s="11">
        <v>42880</v>
      </c>
      <c r="M246" s="12">
        <v>999</v>
      </c>
      <c r="N246" s="12" t="s">
        <v>1621</v>
      </c>
      <c r="O246" s="12" t="s">
        <v>1197</v>
      </c>
      <c r="P246" s="12" t="s">
        <v>1622</v>
      </c>
      <c r="Q246" s="15">
        <v>18453000000</v>
      </c>
      <c r="R246" s="12"/>
      <c r="S246" s="43">
        <f>_xll.RtGet("IDN",$X246,$S$9)</f>
        <v>107.89</v>
      </c>
      <c r="T246" s="43">
        <f>_xll.RtGet("IDN",$X246,$T$9)</f>
        <v>108.28</v>
      </c>
      <c r="U246" s="25">
        <f t="shared" si="33"/>
        <v>108.08500000000001</v>
      </c>
      <c r="V246" s="12"/>
      <c r="W246" s="25">
        <f t="shared" si="34"/>
        <v>108.08500000000001</v>
      </c>
      <c r="X246" s="14" t="str">
        <f t="shared" si="28"/>
        <v>FR0013257524=</v>
      </c>
      <c r="Y246" s="14"/>
      <c r="Z246" s="14"/>
      <c r="AA246" s="14"/>
      <c r="AB246" s="14"/>
      <c r="AC246" s="14"/>
      <c r="AD246" s="34">
        <f>IF(ISNUMBER($D246),_xll.xlBondYield($F246,$H246,$G246,$J246,$K246,$L246,$M246,$D246,$W246,IF(NOT($H246),TRUE,FALSE)),"")</f>
        <v>1.657299556108683E-2</v>
      </c>
      <c r="AE246" s="12"/>
      <c r="AF246" s="12"/>
      <c r="AG246" s="12"/>
      <c r="AH246" s="14"/>
      <c r="AI246" s="14"/>
      <c r="AJ246" s="14"/>
      <c r="AK246" s="246">
        <f>IF(ISNUMBER($D246),_xll.xlBondAswSpread($F246&amp;T(TYPE($AV$1)),$H246,$G246,$J246,$K246,$L246,$M246,$D246,$W246,IF(NOT($H246),TRUE,FALSE),curveName,curveName,,,2),"")</f>
        <v>0.13220128462643721</v>
      </c>
      <c r="AL246" s="213">
        <f>IF($W246&gt;0,_xll.xlBondZSpread(F246&amp;T(TYPE($AV$1)),H246,G246,J246,K246,L246,M246,D246,U246,"annual",5,IF(NOT($H246),TRUE,FALSE),curveName)*100,"")</f>
        <v>13.243639188782252</v>
      </c>
      <c r="AM246" s="266">
        <f>(-IF($AL$9="",VLOOKUP(VLOOKUP(E246,'DB Basis'!$D$2:$H$65205,4,0),Bonds!$AR$1:$AS$6,2,0),$AL$9)*VLOOKUP(E246,'DB Basis'!$D$2:$E$65205,2,0))+IF(V246="",W246,V246)</f>
        <v>-169.89012</v>
      </c>
      <c r="AN246" s="274" t="str">
        <f>IF($AN$9+(($AL$9-$AM$9))*('DB Basis'!F406/10-'DB Basis'!E406),," ")</f>
        <v xml:space="preserve"> </v>
      </c>
      <c r="AO246" s="639">
        <f>IF(U246&gt;0,_xll.xlShmImplSwap2(curveName&amp;T(TYPE($AV$1)),curveName,D246,G246,,1,8,2,4),"")</f>
        <v>1.5359818750686665E-2</v>
      </c>
      <c r="AP246" s="640">
        <f t="shared" si="29"/>
        <v>1.2131768104001652E-3</v>
      </c>
      <c r="AQ246" s="386">
        <f t="shared" si="30"/>
        <v>211.44851866899401</v>
      </c>
      <c r="AR246" s="386">
        <f t="shared" si="31"/>
        <v>211.43665243276214</v>
      </c>
      <c r="AS246" s="388"/>
      <c r="AT246" s="242">
        <f t="shared" si="32"/>
        <v>1.6345968224633585</v>
      </c>
      <c r="AU246" s="686" t="str">
        <f t="shared" si="27"/>
        <v>OAT  25-May-48  2</v>
      </c>
      <c r="AV246" s="702"/>
      <c r="AW246" s="684"/>
      <c r="AX246" s="684"/>
      <c r="AY246" s="684"/>
      <c r="AZ246" s="684"/>
      <c r="BA246" s="684"/>
      <c r="BB246" s="683"/>
      <c r="BC246" s="696"/>
      <c r="BE246" s="706">
        <f>_xll.xlDateShiftMonth(BE245,1)</f>
        <v>50341</v>
      </c>
      <c r="BF246" s="707">
        <v>2.649268347116368E-2</v>
      </c>
      <c r="BU246" s="133" t="s">
        <v>599</v>
      </c>
      <c r="BV246" s="133" t="s">
        <v>599</v>
      </c>
      <c r="BW246" s="133" t="s">
        <v>599</v>
      </c>
      <c r="BX246" s="133" t="s">
        <v>599</v>
      </c>
      <c r="BY246" s="133" t="s">
        <v>599</v>
      </c>
      <c r="BZ246" s="133" t="s">
        <v>599</v>
      </c>
      <c r="CA246" s="133" t="s">
        <v>599</v>
      </c>
      <c r="CB246" s="133" t="s">
        <v>599</v>
      </c>
      <c r="CC246" s="133" t="s">
        <v>599</v>
      </c>
      <c r="CD246" s="133" t="s">
        <v>599</v>
      </c>
      <c r="CE246" s="133" t="s">
        <v>599</v>
      </c>
      <c r="CF246" s="133" t="s">
        <v>599</v>
      </c>
    </row>
    <row r="247" spans="1:84">
      <c r="A247" s="10"/>
      <c r="B247" s="11"/>
      <c r="C247" s="12"/>
      <c r="D247" s="720">
        <f>MAX(_xll.xlDateSettle("TARGET",$D$4,2),L247)</f>
        <v>43179</v>
      </c>
      <c r="E247" s="718" t="s">
        <v>695</v>
      </c>
      <c r="F247" s="13" t="s">
        <v>1518</v>
      </c>
      <c r="G247" s="35">
        <v>56729</v>
      </c>
      <c r="H247" s="37">
        <v>4</v>
      </c>
      <c r="I247" s="11">
        <v>56729</v>
      </c>
      <c r="J247" s="11">
        <v>38102</v>
      </c>
      <c r="K247" s="11">
        <v>38467</v>
      </c>
      <c r="L247" s="11">
        <v>38411</v>
      </c>
      <c r="M247" s="12">
        <v>95.632000000000005</v>
      </c>
      <c r="N247" s="12" t="s">
        <v>1623</v>
      </c>
      <c r="O247" s="12" t="s">
        <v>1178</v>
      </c>
      <c r="P247" s="12" t="s">
        <v>1624</v>
      </c>
      <c r="Q247" s="15">
        <v>14926000000</v>
      </c>
      <c r="R247" s="12"/>
      <c r="S247" s="43">
        <f>_xll.RtGet("IDN",$X247,$S$9)</f>
        <v>162.196</v>
      </c>
      <c r="T247" s="43">
        <f>_xll.RtGet("IDN",$X247,$T$9)</f>
        <v>162.89600000000002</v>
      </c>
      <c r="U247" s="25">
        <f t="shared" si="33"/>
        <v>162.54599999999999</v>
      </c>
      <c r="V247" s="12"/>
      <c r="W247" s="25">
        <f t="shared" si="34"/>
        <v>162.54599999999999</v>
      </c>
      <c r="X247" s="14" t="str">
        <f t="shared" si="28"/>
        <v>FR0010171975=</v>
      </c>
      <c r="Y247" s="14"/>
      <c r="Z247" s="14"/>
      <c r="AA247" s="14"/>
      <c r="AB247" s="14"/>
      <c r="AC247" s="14"/>
      <c r="AD247" s="34">
        <f>IF(ISNUMBER($D247),_xll.xlBondYield($F247,$H247,$G247,$J247,$K247,$L247,$M247,$D247,$W247,IF(NOT($H247),TRUE,FALSE)),"")</f>
        <v>1.709371338594113E-2</v>
      </c>
      <c r="AE247" s="12"/>
      <c r="AF247" s="12"/>
      <c r="AG247" s="12"/>
      <c r="AH247" s="14"/>
      <c r="AI247" s="14"/>
      <c r="AJ247" s="14"/>
      <c r="AK247" s="758">
        <f>IF(ISNUMBER($D247),_xll.xlBondAswSpread($F247&amp;T(TYPE($AV$1)),$H247,$G247,$J247,$K247,$L247,$M247,$D247,$W247,IF(NOT($H247),TRUE,FALSE),curveName,curveName,,,2),"")</f>
        <v>0.27885669006174268</v>
      </c>
      <c r="AL247" s="213">
        <f>IF($W247&gt;0,_xll.xlBondZSpread(F247&amp;T(TYPE($AV$1)),H247,G247,J247,K247,L247,M247,D247,U247,"annual",5,IF(NOT($H247),TRUE,FALSE),curveName)*100,"")</f>
        <v>21.080253471632755</v>
      </c>
      <c r="AM247" s="266">
        <f>(-IF($AL$9="",VLOOKUP(VLOOKUP(E247,'DB Basis'!$D$2:$H$65205,4,0),Bonds!$AR$1:$AS$6,2,0),$AL$9)*VLOOKUP(E247,'DB Basis'!$D$2:$E$65205,2,0))+IF(V247="",W247,V247)</f>
        <v>-261.4579</v>
      </c>
      <c r="AN247" s="274" t="str">
        <f>IF($AN$9+(($AL$9-$AM$9))*('DB Basis'!F407/10-'DB Basis'!E407),," ")</f>
        <v xml:space="preserve"> </v>
      </c>
      <c r="AO247" s="639">
        <f>IF(U247&gt;0,_xll.xlShmImplSwap2(curveName&amp;T(TYPE($AV$1)),curveName,D247,G247,,1,8,2,4),"")</f>
        <v>1.5296926199637123E-2</v>
      </c>
      <c r="AP247" s="640">
        <f t="shared" si="29"/>
        <v>1.7967871863040063E-3</v>
      </c>
      <c r="AQ247" s="386">
        <f t="shared" si="30"/>
        <v>0.75242282688764617</v>
      </c>
      <c r="AR247" s="386">
        <f t="shared" si="31"/>
        <v>0.84330082028860642</v>
      </c>
      <c r="AS247" s="388"/>
      <c r="AT247" s="242">
        <f t="shared" si="32"/>
        <v>1.6859552928599471</v>
      </c>
      <c r="AU247" s="686" t="str">
        <f t="shared" si="27"/>
        <v>OAT  25-Apr-55  4</v>
      </c>
      <c r="AV247" s="702"/>
      <c r="AW247" s="684"/>
      <c r="AX247" s="684"/>
      <c r="AY247" s="684"/>
      <c r="AZ247" s="684"/>
      <c r="BA247" s="684"/>
      <c r="BB247" s="683"/>
      <c r="BC247" s="696"/>
      <c r="BE247" s="706">
        <f>_xll.xlDateShiftMonth(BE246,1)</f>
        <v>50372</v>
      </c>
      <c r="BF247" s="707">
        <v>2.6528432624103711E-2</v>
      </c>
      <c r="BU247" s="133" t="s">
        <v>599</v>
      </c>
      <c r="BV247" s="133" t="s">
        <v>599</v>
      </c>
      <c r="BW247" s="133" t="s">
        <v>599</v>
      </c>
      <c r="BX247" s="133" t="s">
        <v>599</v>
      </c>
      <c r="BY247" s="133" t="s">
        <v>599</v>
      </c>
      <c r="BZ247" s="133" t="s">
        <v>599</v>
      </c>
      <c r="CA247" s="133" t="s">
        <v>599</v>
      </c>
      <c r="CB247" s="133" t="s">
        <v>599</v>
      </c>
      <c r="CC247" s="133" t="s">
        <v>599</v>
      </c>
      <c r="CD247" s="133" t="s">
        <v>599</v>
      </c>
      <c r="CE247" s="133" t="s">
        <v>599</v>
      </c>
      <c r="CF247" s="133" t="s">
        <v>599</v>
      </c>
    </row>
    <row r="248" spans="1:84">
      <c r="A248" s="10"/>
      <c r="B248" s="11"/>
      <c r="C248" s="12"/>
      <c r="D248" s="720">
        <f>MAX(_xll.xlDateSettle("TARGET",$D$4,2),L248)</f>
        <v>43179</v>
      </c>
      <c r="E248" s="718" t="s">
        <v>696</v>
      </c>
      <c r="F248" s="13" t="s">
        <v>1518</v>
      </c>
      <c r="G248" s="35">
        <v>58556</v>
      </c>
      <c r="H248" s="37">
        <v>4</v>
      </c>
      <c r="I248" s="11">
        <v>58556</v>
      </c>
      <c r="J248" s="11">
        <v>39928</v>
      </c>
      <c r="K248" s="11">
        <v>40293</v>
      </c>
      <c r="L248" s="11">
        <v>40254</v>
      </c>
      <c r="M248" s="12">
        <v>96.34</v>
      </c>
      <c r="N248" s="12" t="s">
        <v>1770</v>
      </c>
      <c r="O248" s="12" t="s">
        <v>1178</v>
      </c>
      <c r="P248" s="12" t="s">
        <v>1771</v>
      </c>
      <c r="Q248" s="15">
        <v>13055000000</v>
      </c>
      <c r="R248" s="12"/>
      <c r="S248" s="43">
        <f>_xll.RtGet("IDN",$X248,$S$9)</f>
        <v>166.57300000000001</v>
      </c>
      <c r="T248" s="43">
        <f>_xll.RtGet("IDN",$X248,$T$9)</f>
        <v>166.97300000000001</v>
      </c>
      <c r="U248" s="25">
        <f t="shared" si="33"/>
        <v>166.77300000000002</v>
      </c>
      <c r="V248" s="12"/>
      <c r="W248" s="25">
        <f t="shared" si="34"/>
        <v>166.77300000000002</v>
      </c>
      <c r="X248" s="14" t="str">
        <f t="shared" si="28"/>
        <v>FR0010870956=</v>
      </c>
      <c r="Y248" s="14"/>
      <c r="Z248" s="14"/>
      <c r="AA248" s="14"/>
      <c r="AB248" s="14"/>
      <c r="AC248" s="14"/>
      <c r="AD248" s="34">
        <f>IF(ISNUMBER($D248),_xll.xlBondYield($F248,$H248,$G248,$J248,$K248,$L248,$M248,$D248,$W248,IF(NOT($H248),TRUE,FALSE)),"")</f>
        <v>1.7466266623454418E-2</v>
      </c>
      <c r="AE248" s="12"/>
      <c r="AF248" s="12"/>
      <c r="AG248" s="12"/>
      <c r="AH248" s="14"/>
      <c r="AI248" s="14"/>
      <c r="AJ248" s="14"/>
      <c r="AK248" s="246">
        <f>IF(ISNUMBER($D248),_xll.xlBondAswSpread($F248&amp;T(TYPE($AV$1)),$H248,$G248,$J248,$K248,$L248,$M248,$D248,$W248,IF(NOT($H248),TRUE,FALSE),curveName,curveName,,,2),"")</f>
        <v>0.34759376710291551</v>
      </c>
      <c r="AL248" s="213">
        <f>IF($W248&gt;0,_xll.xlBondZSpread(F248&amp;T(TYPE($AV$1)),H248,G248,J248,K248,L248,M248,D248,U248,"annual",5,IF(NOT($H248),TRUE,FALSE),curveName)*100,"")</f>
        <v>25.524022736315604</v>
      </c>
      <c r="AM248" s="266">
        <f>(-IF($AL$9="",VLOOKUP(VLOOKUP(E248,'DB Basis'!$D$2:$H$65205,4,0),Bonds!$AR$1:$AS$6,2,0),$AL$9)*VLOOKUP(E248,'DB Basis'!$D$2:$E$65205,2,0))+IF(V248="",W248,V248)</f>
        <v>-304.07031999999998</v>
      </c>
      <c r="AN248" s="274" t="str">
        <f>IF($AN$9+(($AL$9-$AM$9))*('DB Basis'!F408/10-'DB Basis'!E408),," ")</f>
        <v xml:space="preserve"> </v>
      </c>
      <c r="AO248" s="639">
        <f>IF(U248&gt;0,_xll.xlShmImplSwap2(curveName&amp;T(TYPE($AV$1)),curveName,D248,G248,,1,8,2,4),"")</f>
        <v>1.5132492223058586E-2</v>
      </c>
      <c r="AP248" s="640">
        <f t="shared" si="29"/>
        <v>2.3337744003958313E-3</v>
      </c>
      <c r="AQ248" s="386">
        <f t="shared" si="30"/>
        <v>0.74429081386070117</v>
      </c>
      <c r="AR248" s="386">
        <f t="shared" si="31"/>
        <v>1.0727987583115279</v>
      </c>
      <c r="AS248" s="388"/>
      <c r="AT248" s="242">
        <f t="shared" si="32"/>
        <v>1.7227002697105727</v>
      </c>
      <c r="AU248" s="686" t="str">
        <f t="shared" si="27"/>
        <v>OAT  25-Apr-60  4</v>
      </c>
      <c r="AV248" s="702"/>
      <c r="AW248" s="684"/>
      <c r="AX248" s="684"/>
      <c r="AY248" s="684"/>
      <c r="AZ248" s="684"/>
      <c r="BA248" s="684"/>
      <c r="BB248" s="683"/>
      <c r="BC248" s="696"/>
      <c r="BE248" s="706">
        <f>_xll.xlDateShiftMonth(BE247,1)</f>
        <v>50402</v>
      </c>
      <c r="BF248" s="707">
        <v>2.6563222183099814E-2</v>
      </c>
      <c r="BU248" s="133" t="s">
        <v>599</v>
      </c>
      <c r="BV248" s="133" t="s">
        <v>599</v>
      </c>
      <c r="BW248" s="133" t="s">
        <v>599</v>
      </c>
      <c r="BX248" s="133" t="s">
        <v>599</v>
      </c>
      <c r="BY248" s="133" t="s">
        <v>599</v>
      </c>
      <c r="BZ248" s="133" t="s">
        <v>599</v>
      </c>
      <c r="CA248" s="133" t="s">
        <v>599</v>
      </c>
      <c r="CB248" s="133" t="s">
        <v>599</v>
      </c>
      <c r="CC248" s="133" t="s">
        <v>599</v>
      </c>
      <c r="CD248" s="133" t="s">
        <v>599</v>
      </c>
      <c r="CE248" s="133" t="s">
        <v>599</v>
      </c>
      <c r="CF248" s="133" t="s">
        <v>599</v>
      </c>
    </row>
    <row r="249" spans="1:84">
      <c r="A249" s="10"/>
      <c r="B249" s="11"/>
      <c r="C249" s="12"/>
      <c r="D249" s="720">
        <f>MAX(_xll.xlDateSettle("TARGET",$D$4,2),L249)</f>
        <v>43179</v>
      </c>
      <c r="E249" s="718" t="s">
        <v>862</v>
      </c>
      <c r="F249" s="13" t="s">
        <v>1518</v>
      </c>
      <c r="G249" s="35">
        <v>60777</v>
      </c>
      <c r="H249" s="37">
        <v>1.75</v>
      </c>
      <c r="I249" s="11">
        <v>60777</v>
      </c>
      <c r="J249" s="11">
        <v>42149</v>
      </c>
      <c r="K249" s="11">
        <v>42515</v>
      </c>
      <c r="L249" s="11">
        <v>42479</v>
      </c>
      <c r="M249" s="12">
        <v>94.683000000000007</v>
      </c>
      <c r="N249" s="12" t="s">
        <v>1625</v>
      </c>
      <c r="O249" s="12" t="s">
        <v>1197</v>
      </c>
      <c r="P249" s="12" t="s">
        <v>1626</v>
      </c>
      <c r="Q249" s="15">
        <v>9107000000</v>
      </c>
      <c r="R249" s="12"/>
      <c r="S249" s="43">
        <f>_xll.RtGet("IDN",$X249,$S$9)</f>
        <v>97.807000000000002</v>
      </c>
      <c r="T249" s="43">
        <f>_xll.RtGet("IDN",$X249,$T$9)</f>
        <v>98.707000000000008</v>
      </c>
      <c r="U249" s="25">
        <f t="shared" si="33"/>
        <v>98.257000000000005</v>
      </c>
      <c r="V249" s="12"/>
      <c r="W249" s="25">
        <f t="shared" si="34"/>
        <v>98.257000000000005</v>
      </c>
      <c r="X249" s="14" t="str">
        <f t="shared" si="28"/>
        <v>FR0013154028=</v>
      </c>
      <c r="Y249" s="14"/>
      <c r="Z249" s="14"/>
      <c r="AA249" s="14"/>
      <c r="AB249" s="14"/>
      <c r="AC249" s="14"/>
      <c r="AD249" s="34">
        <f>IF(ISNUMBER($D249),_xll.xlBondYield($F249,$H249,$G249,$J249,$K249,$L249,$M249,$D249,$W249,IF(NOT($H249),TRUE,FALSE)),"")</f>
        <v>1.8043711657886354E-2</v>
      </c>
      <c r="AE249" s="12"/>
      <c r="AF249" s="12"/>
      <c r="AG249" s="12"/>
      <c r="AH249" s="14"/>
      <c r="AI249" s="14"/>
      <c r="AJ249" s="14"/>
      <c r="AK249" s="246">
        <f>IF(ISNUMBER($D249),_xll.xlBondAswSpread($F249&amp;T(TYPE($AV$1)),$H249,$G249,$J249,$K249,$L249,$M249,$D249,$W249,IF(NOT($H249),TRUE,FALSE),curveName,curveName,,,2),"")</f>
        <v>0.30813262577513534</v>
      </c>
      <c r="AL249" s="213">
        <f>IF($W249&gt;0,_xll.xlBondZSpread(F249&amp;T(TYPE($AV$1)),H249,G249,J249,K249,L249,M249,D249,U249,"annual",5,IF(NOT($H249),TRUE,FALSE),curveName)*100,"")</f>
        <v>32.0939766285559</v>
      </c>
      <c r="AM249" s="266">
        <f>(-IF($AL$9="",VLOOKUP(VLOOKUP(E249,'DB Basis'!$D$2:$H$65205,4,0),Bonds!$AR$1:$AS$6,2,0),$AL$9)*VLOOKUP(E249,'DB Basis'!$D$2:$E$65205,2,0))+IF(V249="",W249,V249)</f>
        <v>-251.96715999999998</v>
      </c>
      <c r="AN249" s="274" t="str">
        <f>IF($AN$9+(($AL$9-$AM$9))*('DB Basis'!F409/10-'DB Basis'!E409),," ")</f>
        <v xml:space="preserve"> </v>
      </c>
      <c r="AO249" s="639">
        <f>IF(U249&gt;0,_xll.xlShmImplSwap2(curveName&amp;T(TYPE($AV$1)),curveName,D249,G249,,1,8,2,4),"")</f>
        <v>1.486928628108442E-2</v>
      </c>
      <c r="AP249" s="640">
        <f t="shared" si="29"/>
        <v>3.1744253768019332E-3</v>
      </c>
      <c r="AQ249" s="386">
        <f t="shared" si="30"/>
        <v>0.9489754055274946</v>
      </c>
      <c r="AR249" s="386">
        <f t="shared" si="31"/>
        <v>1.381529069735377</v>
      </c>
      <c r="AS249" s="388"/>
      <c r="AT249" s="242">
        <f t="shared" si="32"/>
        <v>1.779653752558654</v>
      </c>
      <c r="AU249" s="686" t="str">
        <f t="shared" si="27"/>
        <v>OAT  25-May-66  1.75</v>
      </c>
      <c r="AV249" s="702"/>
      <c r="AW249" s="684"/>
      <c r="AX249" s="684"/>
      <c r="AY249" s="684"/>
      <c r="AZ249" s="684"/>
      <c r="BA249" s="684"/>
      <c r="BB249" s="683"/>
      <c r="BC249" s="696"/>
      <c r="BE249" s="706">
        <f>_xll.xlDateShiftMonth(BE248,1)</f>
        <v>50433</v>
      </c>
      <c r="BF249" s="707">
        <v>2.6599391925208618E-2</v>
      </c>
      <c r="BU249" s="133" t="s">
        <v>599</v>
      </c>
      <c r="BV249" s="133" t="s">
        <v>599</v>
      </c>
      <c r="BW249" s="133" t="s">
        <v>599</v>
      </c>
      <c r="BX249" s="133" t="s">
        <v>599</v>
      </c>
      <c r="BY249" s="133" t="s">
        <v>599</v>
      </c>
      <c r="BZ249" s="133" t="s">
        <v>599</v>
      </c>
      <c r="CA249" s="133" t="s">
        <v>599</v>
      </c>
      <c r="CB249" s="133" t="s">
        <v>599</v>
      </c>
      <c r="CC249" s="133" t="s">
        <v>599</v>
      </c>
      <c r="CD249" s="133" t="s">
        <v>599</v>
      </c>
      <c r="CE249" s="133" t="s">
        <v>599</v>
      </c>
      <c r="CF249" s="133" t="s">
        <v>599</v>
      </c>
    </row>
    <row r="250" spans="1:84">
      <c r="A250" s="10"/>
      <c r="B250" s="11"/>
      <c r="C250" s="12"/>
      <c r="D250" s="720">
        <f>MAX(_xll.xlDateSettle("TARGET",$D$4,2),L250)</f>
        <v>43179</v>
      </c>
      <c r="E250" s="718"/>
      <c r="F250" s="13" t="s">
        <v>1769</v>
      </c>
      <c r="G250" s="35" t="s">
        <v>1769</v>
      </c>
      <c r="H250" s="37" t="s">
        <v>1769</v>
      </c>
      <c r="I250" s="11" t="s">
        <v>1769</v>
      </c>
      <c r="J250" s="11" t="s">
        <v>1769</v>
      </c>
      <c r="K250" s="11" t="s">
        <v>1769</v>
      </c>
      <c r="L250" s="11" t="s">
        <v>1769</v>
      </c>
      <c r="M250" s="12" t="s">
        <v>1769</v>
      </c>
      <c r="N250" s="12" t="s">
        <v>1769</v>
      </c>
      <c r="O250" s="12" t="s">
        <v>1769</v>
      </c>
      <c r="P250" s="12" t="s">
        <v>1769</v>
      </c>
      <c r="Q250" s="15" t="s">
        <v>1769</v>
      </c>
      <c r="R250" s="12"/>
      <c r="S250" s="43" t="str">
        <f>_xll.RtGet("IDN",$X250,$S$9)</f>
        <v>#N/A The record could not be found</v>
      </c>
      <c r="T250" s="43" t="str">
        <f>_xll.RtGet("IDN",$X250,$T$9)</f>
        <v>#N/A The record could not be found</v>
      </c>
      <c r="U250" s="25" t="e">
        <f t="shared" si="33"/>
        <v>#DIV/0!</v>
      </c>
      <c r="V250" s="12"/>
      <c r="W250" s="25" t="e">
        <f t="shared" si="34"/>
        <v>#DIV/0!</v>
      </c>
      <c r="X250" s="14" t="str">
        <f t="shared" si="28"/>
        <v>=</v>
      </c>
      <c r="Y250" s="14"/>
      <c r="Z250" s="14"/>
      <c r="AA250" s="14"/>
      <c r="AB250" s="14"/>
      <c r="AC250" s="14"/>
      <c r="AD250" s="34" t="e">
        <f>IF(ISNUMBER($D250),_xll.xlBondYield($F250,$H250,$G250,$J250,$K250,$L250,$M250,$D250,$W250,IF(NOT($H250),TRUE,FALSE)),"")</f>
        <v>#NUM!</v>
      </c>
      <c r="AE250" s="12"/>
      <c r="AF250" s="12"/>
      <c r="AG250" s="12"/>
      <c r="AH250" s="14"/>
      <c r="AI250" s="14"/>
      <c r="AJ250" s="14"/>
      <c r="AK250" s="246" t="e">
        <f>IF(ISNUMBER($D250),_xll.xlBondAswSpread($F250&amp;T(TYPE($AV$1)),$H250,$G250,$J250,$K250,$L250,$M250,$D250,$W250,IF(NOT($H250),TRUE,FALSE),curveName,curveName,,,2),"")</f>
        <v>#NUM!</v>
      </c>
      <c r="AL250" s="213" t="e">
        <f>IF($W250&gt;0,_xll.xlBondZSpread(F250&amp;T(TYPE($AV$1)),H250,G250,J250,K250,L250,M250,D250,U250,"annual",5,IF(NOT($H250),TRUE,FALSE),curveName)*100,"")</f>
        <v>#DIV/0!</v>
      </c>
      <c r="AM250" s="266" t="e">
        <f>(-IF($AL$9="",VLOOKUP(VLOOKUP(E250,'DB Basis'!$D$2:$H$65205,4,0),Bonds!$AR$1:$AS$6,2,0),$AL$9)*VLOOKUP(E250,'DB Basis'!$D$2:$E$65205,2,0))+IF(V250="",W250,V250)</f>
        <v>#N/A</v>
      </c>
      <c r="AN250" s="274" t="str">
        <f>IF($AN$9+(($AL$9-$AM$9))*('DB Basis'!F410/10-'DB Basis'!E410),," ")</f>
        <v xml:space="preserve"> </v>
      </c>
      <c r="AO250" s="639" t="e">
        <f>IF(U250&gt;0,_xll.xlShmImplSwap2(curveName&amp;T(TYPE($AV$1)),curveName,D250,G250,,1,8,2,4),"")</f>
        <v>#DIV/0!</v>
      </c>
      <c r="AP250" s="640" t="str">
        <f t="shared" si="29"/>
        <v>-</v>
      </c>
      <c r="AQ250" s="386" t="str">
        <f t="shared" si="30"/>
        <v>-</v>
      </c>
      <c r="AR250" s="386" t="str">
        <f t="shared" si="31"/>
        <v>-</v>
      </c>
      <c r="AS250" s="388"/>
      <c r="AT250" s="242" t="str">
        <f t="shared" si="32"/>
        <v>-</v>
      </c>
      <c r="AU250" s="686" t="str">
        <f t="shared" si="27"/>
        <v>#ERROR: Invalid ISIN  #ERROR: Invalid ISIN  #ERROR: Invalid ISIN</v>
      </c>
      <c r="AV250" s="702"/>
      <c r="AW250" s="684"/>
      <c r="AX250" s="684"/>
      <c r="AY250" s="684"/>
      <c r="AZ250" s="684"/>
      <c r="BA250" s="684"/>
      <c r="BB250" s="683"/>
      <c r="BC250" s="696"/>
      <c r="BE250" s="706">
        <f>_xll.xlDateShiftMonth(BE249,1)</f>
        <v>50464</v>
      </c>
      <c r="BF250" s="707">
        <v>2.6635806622476815E-2</v>
      </c>
      <c r="BU250" s="133" t="s">
        <v>599</v>
      </c>
      <c r="BV250" s="133" t="s">
        <v>599</v>
      </c>
      <c r="BW250" s="133" t="s">
        <v>599</v>
      </c>
      <c r="BX250" s="133" t="s">
        <v>599</v>
      </c>
      <c r="BY250" s="133" t="s">
        <v>599</v>
      </c>
      <c r="BZ250" s="133" t="s">
        <v>599</v>
      </c>
      <c r="CA250" s="133" t="s">
        <v>599</v>
      </c>
      <c r="CB250" s="133" t="s">
        <v>599</v>
      </c>
      <c r="CC250" s="133" t="s">
        <v>599</v>
      </c>
      <c r="CD250" s="133" t="s">
        <v>599</v>
      </c>
      <c r="CE250" s="133" t="s">
        <v>599</v>
      </c>
      <c r="CF250" s="133" t="s">
        <v>599</v>
      </c>
    </row>
    <row r="251" spans="1:84">
      <c r="A251" s="10"/>
      <c r="B251" s="11"/>
      <c r="C251" s="12"/>
      <c r="D251" s="720">
        <f>MAX(_xll.xlDateSettle("TARGET",$D$4,2),L251)</f>
        <v>43179</v>
      </c>
      <c r="E251" s="718"/>
      <c r="F251" s="13" t="s">
        <v>1769</v>
      </c>
      <c r="G251" s="35" t="s">
        <v>1769</v>
      </c>
      <c r="H251" s="37" t="s">
        <v>1769</v>
      </c>
      <c r="I251" s="11" t="s">
        <v>1769</v>
      </c>
      <c r="J251" s="11" t="s">
        <v>1769</v>
      </c>
      <c r="K251" s="11" t="s">
        <v>1769</v>
      </c>
      <c r="L251" s="11" t="s">
        <v>1769</v>
      </c>
      <c r="M251" s="12" t="s">
        <v>1769</v>
      </c>
      <c r="N251" s="12" t="s">
        <v>1769</v>
      </c>
      <c r="O251" s="12" t="s">
        <v>1769</v>
      </c>
      <c r="P251" s="12" t="s">
        <v>1769</v>
      </c>
      <c r="Q251" s="15" t="s">
        <v>1769</v>
      </c>
      <c r="R251" s="12"/>
      <c r="S251" s="43" t="str">
        <f>_xll.RtGet("IDN",$X251,$S$9)</f>
        <v>#N/A The record could not be found</v>
      </c>
      <c r="T251" s="43" t="str">
        <f>_xll.RtGet("IDN",$X251,$T$9)</f>
        <v>#N/A The record could not be found</v>
      </c>
      <c r="U251" s="25" t="e">
        <f t="shared" si="33"/>
        <v>#DIV/0!</v>
      </c>
      <c r="V251" s="12"/>
      <c r="W251" s="25" t="e">
        <f t="shared" si="34"/>
        <v>#DIV/0!</v>
      </c>
      <c r="X251" s="14" t="str">
        <f t="shared" si="28"/>
        <v>=</v>
      </c>
      <c r="Y251" s="14"/>
      <c r="Z251" s="14"/>
      <c r="AA251" s="14"/>
      <c r="AB251" s="14"/>
      <c r="AC251" s="14"/>
      <c r="AD251" s="34" t="e">
        <f>IF(ISNUMBER($D251),_xll.xlBondYield($F251,$H251,$G251,$J251,$K251,$L251,$M251,$D251,$W251,IF(NOT($H251),TRUE,FALSE)),"")</f>
        <v>#NUM!</v>
      </c>
      <c r="AE251" s="12"/>
      <c r="AF251" s="12"/>
      <c r="AG251" s="12"/>
      <c r="AH251" s="14"/>
      <c r="AI251" s="14"/>
      <c r="AJ251" s="14"/>
      <c r="AK251" s="246" t="e">
        <f>IF(ISNUMBER($D251),_xll.xlBondAswSpread($F251&amp;T(TYPE($AV$1)),$H251,$G251,$J251,$K251,$L251,$M251,$D251,$W251,IF(NOT($H251),TRUE,FALSE),curveName,curveName,,,2),"")</f>
        <v>#NUM!</v>
      </c>
      <c r="AL251" s="213" t="e">
        <f>IF($W251&gt;0,_xll.xlBondZSpread(F251&amp;T(TYPE($AV$1)),H251,G251,J251,K251,L251,M251,D251,U251,"annual",5,IF(NOT($H251),TRUE,FALSE),curveName)*100,"")</f>
        <v>#DIV/0!</v>
      </c>
      <c r="AM251" s="266" t="e">
        <f>(-IF($AL$9="",VLOOKUP(VLOOKUP(E251,'DB Basis'!$D$2:$H$65205,4,0),Bonds!$AR$1:$AS$6,2,0),$AL$9)*VLOOKUP(E251,'DB Basis'!$D$2:$E$65205,2,0))+IF(V251="",W251,V251)</f>
        <v>#N/A</v>
      </c>
      <c r="AN251" s="274" t="str">
        <f>IF($AN$9+(($AL$9-$AM$9))*('DB Basis'!F411/10-'DB Basis'!E411),," ")</f>
        <v xml:space="preserve"> </v>
      </c>
      <c r="AO251" s="639" t="e">
        <f>IF(U251&gt;0,_xll.xlShmImplSwap2(curveName&amp;T(TYPE($AV$1)),curveName,D251,G251,,1,8,2,4),"")</f>
        <v>#DIV/0!</v>
      </c>
      <c r="AP251" s="640" t="str">
        <f t="shared" si="29"/>
        <v>-</v>
      </c>
      <c r="AQ251" s="386" t="str">
        <f t="shared" si="30"/>
        <v>-</v>
      </c>
      <c r="AR251" s="386" t="str">
        <f t="shared" si="31"/>
        <v>-</v>
      </c>
      <c r="AS251" s="388"/>
      <c r="AT251" s="242" t="str">
        <f t="shared" si="32"/>
        <v>-</v>
      </c>
      <c r="AU251" s="686" t="str">
        <f t="shared" si="27"/>
        <v>#ERROR: Invalid ISIN  #ERROR: Invalid ISIN  #ERROR: Invalid ISIN</v>
      </c>
      <c r="AV251" s="702"/>
      <c r="AW251" s="684"/>
      <c r="AX251" s="684"/>
      <c r="AY251" s="684"/>
      <c r="AZ251" s="684"/>
      <c r="BA251" s="684"/>
      <c r="BC251" s="697"/>
      <c r="BE251" s="706">
        <f>_xll.xlDateShiftMonth(BE250,1)</f>
        <v>50492</v>
      </c>
      <c r="BF251" s="707">
        <v>2.6668925357715104E-2</v>
      </c>
      <c r="BU251" s="133" t="s">
        <v>599</v>
      </c>
      <c r="BV251" s="133" t="s">
        <v>599</v>
      </c>
      <c r="BW251" s="133" t="s">
        <v>599</v>
      </c>
      <c r="BX251" s="133" t="s">
        <v>599</v>
      </c>
      <c r="BY251" s="133" t="s">
        <v>599</v>
      </c>
      <c r="BZ251" s="133" t="s">
        <v>599</v>
      </c>
      <c r="CA251" s="133" t="s">
        <v>599</v>
      </c>
      <c r="CB251" s="133" t="s">
        <v>599</v>
      </c>
      <c r="CC251" s="133" t="s">
        <v>599</v>
      </c>
      <c r="CD251" s="133" t="s">
        <v>599</v>
      </c>
      <c r="CE251" s="133" t="s">
        <v>599</v>
      </c>
      <c r="CF251" s="133" t="s">
        <v>599</v>
      </c>
    </row>
    <row r="252" spans="1:84">
      <c r="A252" s="10"/>
      <c r="B252" s="11"/>
      <c r="C252" s="12"/>
      <c r="D252" s="720">
        <f>MAX(_xll.xlDateSettle("TARGET",$D$4,2),L252)</f>
        <v>43179</v>
      </c>
      <c r="E252" s="718"/>
      <c r="F252" s="13" t="s">
        <v>1769</v>
      </c>
      <c r="G252" s="35" t="s">
        <v>1769</v>
      </c>
      <c r="H252" s="37" t="s">
        <v>1769</v>
      </c>
      <c r="I252" s="11" t="s">
        <v>1769</v>
      </c>
      <c r="J252" s="11" t="s">
        <v>1769</v>
      </c>
      <c r="K252" s="11" t="s">
        <v>1769</v>
      </c>
      <c r="L252" s="11" t="s">
        <v>1769</v>
      </c>
      <c r="M252" s="12" t="s">
        <v>1769</v>
      </c>
      <c r="N252" s="12" t="s">
        <v>1769</v>
      </c>
      <c r="O252" s="12" t="s">
        <v>1769</v>
      </c>
      <c r="P252" s="12" t="s">
        <v>1769</v>
      </c>
      <c r="Q252" s="15" t="s">
        <v>1769</v>
      </c>
      <c r="R252" s="12"/>
      <c r="S252" s="43" t="str">
        <f>_xll.RtGet("IDN",$X252,$S$9)</f>
        <v>#N/A The record could not be found</v>
      </c>
      <c r="T252" s="43" t="str">
        <f>_xll.RtGet("IDN",$X252,$T$9)</f>
        <v>#N/A The record could not be found</v>
      </c>
      <c r="U252" s="25" t="e">
        <f t="shared" si="33"/>
        <v>#DIV/0!</v>
      </c>
      <c r="V252" s="12"/>
      <c r="W252" s="25" t="e">
        <f t="shared" si="34"/>
        <v>#DIV/0!</v>
      </c>
      <c r="X252" s="14" t="str">
        <f t="shared" si="28"/>
        <v>=</v>
      </c>
      <c r="Y252" s="14"/>
      <c r="Z252" s="14"/>
      <c r="AA252" s="14"/>
      <c r="AB252" s="14"/>
      <c r="AC252" s="14"/>
      <c r="AD252" s="34" t="e">
        <f>IF(ISNUMBER($D252),_xll.xlBondYield($F252,$H252,$G252,$J252,$K252,$L252,$M252,$D252,$W252,IF(NOT($H252),TRUE,FALSE)),"")</f>
        <v>#NUM!</v>
      </c>
      <c r="AE252" s="12"/>
      <c r="AF252" s="12"/>
      <c r="AG252" s="12"/>
      <c r="AH252" s="14"/>
      <c r="AI252" s="14"/>
      <c r="AJ252" s="14"/>
      <c r="AK252" s="246" t="e">
        <f>IF(ISNUMBER($D252),_xll.xlBondAswSpread($F252&amp;T(TYPE($AV$1)),$H252,$G252,$J252,$K252,$L252,$M252,$D252,$W252,IF(NOT($H252),TRUE,FALSE),curveName,curveName,,,2),"")</f>
        <v>#NUM!</v>
      </c>
      <c r="AL252" s="213" t="e">
        <f>IF($W252&gt;0,_xll.xlBondZSpread(F252&amp;T(TYPE($AV$1)),H252,G252,J252,K252,L252,M252,D252,U252,"annual",5,IF(NOT($H252),TRUE,FALSE),curveName)*100,"")</f>
        <v>#DIV/0!</v>
      </c>
      <c r="AM252" s="266" t="e">
        <f>(-IF($AL$9="",VLOOKUP(VLOOKUP(E252,'DB Basis'!$D$2:$H$65205,4,0),Bonds!$AR$1:$AS$6,2,0),$AL$9)*VLOOKUP(E252,'DB Basis'!$D$2:$E$65205,2,0))+IF(V252="",W252,V252)</f>
        <v>#N/A</v>
      </c>
      <c r="AN252" s="274" t="str">
        <f>IF($AN$9+(($AL$9-$AM$9))*('DB Basis'!F412/10-'DB Basis'!E412),," ")</f>
        <v xml:space="preserve"> </v>
      </c>
      <c r="AO252" s="639" t="e">
        <f>IF(U252&gt;0,_xll.xlShmImplSwap2(curveName&amp;T(TYPE($AV$1)),curveName,D252,G252,,1,8,2,4),"")</f>
        <v>#DIV/0!</v>
      </c>
      <c r="AP252" s="640" t="str">
        <f t="shared" si="29"/>
        <v>-</v>
      </c>
      <c r="AQ252" s="386" t="str">
        <f t="shared" si="30"/>
        <v>-</v>
      </c>
      <c r="AR252" s="386" t="str">
        <f t="shared" si="31"/>
        <v>-</v>
      </c>
      <c r="AS252" s="388"/>
      <c r="AT252" s="242" t="str">
        <f t="shared" si="32"/>
        <v>-</v>
      </c>
      <c r="AU252" s="686" t="str">
        <f t="shared" si="27"/>
        <v>#ERROR: Invalid ISIN  #ERROR: Invalid ISIN  #ERROR: Invalid ISIN</v>
      </c>
      <c r="AV252" s="702"/>
      <c r="AW252" s="684"/>
      <c r="AX252" s="684"/>
      <c r="AY252" s="684"/>
      <c r="AZ252" s="684"/>
      <c r="BA252" s="684"/>
      <c r="BC252" s="697"/>
      <c r="BE252" s="706">
        <f>_xll.xlDateShiftMonth(BE251,1)</f>
        <v>50523</v>
      </c>
      <c r="BF252" s="707">
        <v>2.670586437415836E-2</v>
      </c>
      <c r="BU252" s="133" t="s">
        <v>599</v>
      </c>
      <c r="BV252" s="133" t="s">
        <v>599</v>
      </c>
      <c r="BW252" s="133" t="s">
        <v>599</v>
      </c>
      <c r="BX252" s="133" t="s">
        <v>599</v>
      </c>
      <c r="BY252" s="133" t="s">
        <v>599</v>
      </c>
      <c r="BZ252" s="133" t="s">
        <v>599</v>
      </c>
      <c r="CA252" s="133" t="s">
        <v>599</v>
      </c>
      <c r="CB252" s="133" t="s">
        <v>599</v>
      </c>
      <c r="CC252" s="133" t="s">
        <v>599</v>
      </c>
      <c r="CD252" s="133" t="s">
        <v>599</v>
      </c>
      <c r="CE252" s="133" t="s">
        <v>599</v>
      </c>
      <c r="CF252" s="133" t="s">
        <v>599</v>
      </c>
    </row>
    <row r="253" spans="1:84">
      <c r="A253" s="10"/>
      <c r="B253" s="11"/>
      <c r="C253" s="12"/>
      <c r="D253" s="720">
        <f>MAX(_xll.xlDateSettle("TARGET",$D$4,2),L253)</f>
        <v>43179</v>
      </c>
      <c r="E253" s="718"/>
      <c r="F253" s="13" t="s">
        <v>1769</v>
      </c>
      <c r="G253" s="35" t="s">
        <v>1769</v>
      </c>
      <c r="H253" s="37" t="s">
        <v>1769</v>
      </c>
      <c r="I253" s="11" t="s">
        <v>1769</v>
      </c>
      <c r="J253" s="11" t="s">
        <v>1769</v>
      </c>
      <c r="K253" s="11" t="s">
        <v>1769</v>
      </c>
      <c r="L253" s="11" t="s">
        <v>1769</v>
      </c>
      <c r="M253" s="12" t="s">
        <v>1769</v>
      </c>
      <c r="N253" s="12" t="s">
        <v>1769</v>
      </c>
      <c r="O253" s="12" t="s">
        <v>1769</v>
      </c>
      <c r="P253" s="12" t="s">
        <v>1769</v>
      </c>
      <c r="Q253" s="15" t="s">
        <v>1769</v>
      </c>
      <c r="R253" s="12"/>
      <c r="S253" s="43" t="str">
        <f>_xll.RtGet("IDN",$X253,$S$9)</f>
        <v>#N/A The record could not be found</v>
      </c>
      <c r="T253" s="43" t="str">
        <f>_xll.RtGet("IDN",$X253,$T$9)</f>
        <v>#N/A The record could not be found</v>
      </c>
      <c r="U253" s="25" t="e">
        <f t="shared" si="33"/>
        <v>#DIV/0!</v>
      </c>
      <c r="V253" s="12"/>
      <c r="W253" s="25" t="e">
        <f t="shared" si="34"/>
        <v>#DIV/0!</v>
      </c>
      <c r="X253" s="14" t="str">
        <f t="shared" si="28"/>
        <v>=</v>
      </c>
      <c r="Y253" s="14"/>
      <c r="Z253" s="14"/>
      <c r="AA253" s="14"/>
      <c r="AB253" s="14"/>
      <c r="AC253" s="14"/>
      <c r="AD253" s="34" t="e">
        <f>IF(ISNUMBER($D253),_xll.xlBondYield($F253,$H253,$G253,$J253,$K253,$L253,$M253,$D253,$W253,IF(NOT($H253),TRUE,FALSE)),"")</f>
        <v>#NUM!</v>
      </c>
      <c r="AE253" s="12"/>
      <c r="AF253" s="12"/>
      <c r="AG253" s="12"/>
      <c r="AH253" s="14"/>
      <c r="AI253" s="14"/>
      <c r="AJ253" s="14"/>
      <c r="AK253" s="246" t="e">
        <f>IF(ISNUMBER($D253),_xll.xlBondAswSpread($F253&amp;T(TYPE($AV$1)),$H253,$G253,$J253,$K253,$L253,$M253,$D253,$W253,IF(NOT($H253),TRUE,FALSE),curveName,curveName,,,2),"")</f>
        <v>#NUM!</v>
      </c>
      <c r="AL253" s="213" t="e">
        <f>IF($W253&gt;0,_xll.xlBondZSpread(F253&amp;T(TYPE($AV$1)),H253,G253,J253,K253,L253,M253,D253,U253,"annual",5,IF(NOT($H253),TRUE,FALSE),curveName)*100,"")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4" t="str">
        <f>IF($AN$9+(($AL$9-$AM$9))*('DB Basis'!F413/10-'DB Basis'!E413),," ")</f>
        <v xml:space="preserve"> </v>
      </c>
      <c r="AO253" s="639" t="e">
        <f>IF(U253&gt;0,_xll.xlShmImplSwap2(curveName&amp;T(TYPE($AV$1)),curveName,D253,G253,,1,8,2,4),"")</f>
        <v>#DIV/0!</v>
      </c>
      <c r="AP253" s="640" t="str">
        <f t="shared" si="29"/>
        <v>-</v>
      </c>
      <c r="AQ253" s="386" t="str">
        <f t="shared" si="30"/>
        <v>-</v>
      </c>
      <c r="AR253" s="386" t="str">
        <f t="shared" si="31"/>
        <v>-</v>
      </c>
      <c r="AS253" s="388"/>
      <c r="AT253" s="242" t="str">
        <f t="shared" si="32"/>
        <v>-</v>
      </c>
      <c r="AU253" s="686" t="str">
        <f t="shared" si="27"/>
        <v>#ERROR: Invalid ISIN  #ERROR: Invalid ISIN  #ERROR: Invalid ISIN</v>
      </c>
      <c r="AV253" s="702"/>
      <c r="AW253" s="684"/>
      <c r="AX253" s="684"/>
      <c r="AY253" s="684"/>
      <c r="AZ253" s="684"/>
      <c r="BA253" s="684"/>
      <c r="BC253" s="697"/>
      <c r="BE253" s="706">
        <f>_xll.xlDateShiftMonth(BE252,1)</f>
        <v>50553</v>
      </c>
      <c r="BF253" s="707">
        <v>2.6741902969977065E-2</v>
      </c>
      <c r="BU253" s="133" t="s">
        <v>599</v>
      </c>
      <c r="BV253" s="133" t="s">
        <v>599</v>
      </c>
      <c r="BW253" s="133" t="s">
        <v>599</v>
      </c>
      <c r="BX253" s="133" t="s">
        <v>599</v>
      </c>
      <c r="BY253" s="133" t="s">
        <v>599</v>
      </c>
      <c r="BZ253" s="133" t="s">
        <v>599</v>
      </c>
      <c r="CA253" s="133" t="s">
        <v>599</v>
      </c>
      <c r="CB253" s="133" t="s">
        <v>599</v>
      </c>
      <c r="CC253" s="133" t="s">
        <v>599</v>
      </c>
      <c r="CD253" s="133" t="s">
        <v>599</v>
      </c>
      <c r="CE253" s="133" t="s">
        <v>599</v>
      </c>
      <c r="CF253" s="133" t="s">
        <v>599</v>
      </c>
    </row>
    <row r="254" spans="1:84">
      <c r="A254" s="10"/>
      <c r="B254" s="11"/>
      <c r="C254" s="12"/>
      <c r="D254" s="720">
        <f>MAX(_xll.xlDateSettle("TARGET",$D$4,2),L254)</f>
        <v>43179</v>
      </c>
      <c r="E254" s="718"/>
      <c r="F254" s="13" t="s">
        <v>1769</v>
      </c>
      <c r="G254" s="35" t="s">
        <v>1769</v>
      </c>
      <c r="H254" s="37" t="s">
        <v>1769</v>
      </c>
      <c r="I254" s="11" t="s">
        <v>1769</v>
      </c>
      <c r="J254" s="11" t="s">
        <v>1769</v>
      </c>
      <c r="K254" s="11" t="s">
        <v>1769</v>
      </c>
      <c r="L254" s="11" t="s">
        <v>1769</v>
      </c>
      <c r="M254" s="12" t="s">
        <v>1769</v>
      </c>
      <c r="N254" s="12" t="s">
        <v>1769</v>
      </c>
      <c r="O254" s="12" t="s">
        <v>1769</v>
      </c>
      <c r="P254" s="12" t="s">
        <v>1769</v>
      </c>
      <c r="Q254" s="15" t="s">
        <v>1769</v>
      </c>
      <c r="R254" s="12"/>
      <c r="S254" s="43" t="str">
        <f>_xll.RtGet("IDN",$X254,$S$9)</f>
        <v>#N/A The record could not be found</v>
      </c>
      <c r="T254" s="43" t="str">
        <f>_xll.RtGet("IDN",$X254,$T$9)</f>
        <v>#N/A The record could not be found</v>
      </c>
      <c r="U254" s="25" t="e">
        <f t="shared" si="33"/>
        <v>#DIV/0!</v>
      </c>
      <c r="V254" s="12"/>
      <c r="W254" s="25" t="e">
        <f t="shared" si="34"/>
        <v>#DIV/0!</v>
      </c>
      <c r="X254" s="14" t="str">
        <f t="shared" si="28"/>
        <v>=</v>
      </c>
      <c r="Y254" s="14"/>
      <c r="Z254" s="14"/>
      <c r="AA254" s="14"/>
      <c r="AB254" s="14"/>
      <c r="AC254" s="14"/>
      <c r="AD254" s="34" t="e">
        <f>IF(ISNUMBER($D254),_xll.xlBondYield($F254,$H254,$G254,$J254,$K254,$L254,$M254,$D254,$W254,IF(NOT($H254),TRUE,FALSE)),"")</f>
        <v>#NUM!</v>
      </c>
      <c r="AE254" s="12"/>
      <c r="AF254" s="12"/>
      <c r="AG254" s="12"/>
      <c r="AH254" s="14"/>
      <c r="AI254" s="14"/>
      <c r="AJ254" s="14"/>
      <c r="AK254" s="246" t="e">
        <f>IF(ISNUMBER($D254),_xll.xlBondAswSpread($F254&amp;T(TYPE($AV$1)),$H254,$G254,$J254,$K254,$L254,$M254,$D254,$W254,IF(NOT($H254),TRUE,FALSE),curveName,curveName,,,2),"")</f>
        <v>#NUM!</v>
      </c>
      <c r="AL254" s="213" t="e">
        <f>IF($W254&gt;0,_xll.xlBondZSpread(F254&amp;T(TYPE($AV$1)),H254,G254,J254,K254,L254,M254,D254,U254,"annual",5,IF(NOT($H254),TRUE,FALSE),curveName)*100,"")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4" t="str">
        <f>IF($AN$9+(($AL$9-$AM$9))*('DB Basis'!F414/10-'DB Basis'!E414),," ")</f>
        <v xml:space="preserve"> </v>
      </c>
      <c r="AO254" s="639" t="e">
        <f>IF(U254&gt;0,_xll.xlShmImplSwap2(curveName&amp;T(TYPE($AV$1)),curveName,D254,G254,,1,8,2,4),"")</f>
        <v>#DIV/0!</v>
      </c>
      <c r="AP254" s="640" t="str">
        <f t="shared" si="29"/>
        <v>-</v>
      </c>
      <c r="AQ254" s="386" t="str">
        <f t="shared" si="30"/>
        <v>-</v>
      </c>
      <c r="AR254" s="386" t="str">
        <f t="shared" si="31"/>
        <v>-</v>
      </c>
      <c r="AS254" s="388"/>
      <c r="AT254" s="242" t="str">
        <f t="shared" si="32"/>
        <v>-</v>
      </c>
      <c r="AU254" s="686" t="str">
        <f t="shared" si="27"/>
        <v>#ERROR: Invalid ISIN  #ERROR: Invalid ISIN  #ERROR: Invalid ISIN</v>
      </c>
      <c r="AV254" s="702"/>
      <c r="AW254" s="684"/>
      <c r="AX254" s="684"/>
      <c r="AY254" s="684"/>
      <c r="AZ254" s="684"/>
      <c r="BA254" s="684"/>
      <c r="BC254" s="697"/>
      <c r="BE254" s="706">
        <f>_xll.xlDateShiftMonth(BE253,1)</f>
        <v>50584</v>
      </c>
      <c r="BF254" s="707">
        <v>2.6779464191349359E-2</v>
      </c>
      <c r="BU254" s="133" t="s">
        <v>599</v>
      </c>
      <c r="BV254" s="133" t="s">
        <v>599</v>
      </c>
      <c r="BW254" s="133" t="s">
        <v>599</v>
      </c>
      <c r="BX254" s="133" t="s">
        <v>599</v>
      </c>
      <c r="BY254" s="133" t="s">
        <v>599</v>
      </c>
      <c r="BZ254" s="133" t="s">
        <v>599</v>
      </c>
      <c r="CA254" s="133" t="s">
        <v>599</v>
      </c>
      <c r="CB254" s="133" t="s">
        <v>599</v>
      </c>
      <c r="CC254" s="133" t="s">
        <v>599</v>
      </c>
      <c r="CD254" s="133" t="s">
        <v>599</v>
      </c>
      <c r="CE254" s="133" t="s">
        <v>599</v>
      </c>
      <c r="CF254" s="133" t="s">
        <v>599</v>
      </c>
    </row>
    <row r="255" spans="1:84">
      <c r="A255" s="10"/>
      <c r="B255" s="11"/>
      <c r="C255" s="12"/>
      <c r="D255" s="720">
        <f>MAX(_xll.xlDateSettle("TARGET",$D$4,2),L255)</f>
        <v>43179</v>
      </c>
      <c r="E255" s="718"/>
      <c r="F255" s="13" t="s">
        <v>1769</v>
      </c>
      <c r="G255" s="35" t="s">
        <v>1769</v>
      </c>
      <c r="H255" s="37" t="s">
        <v>1769</v>
      </c>
      <c r="I255" s="11" t="s">
        <v>1769</v>
      </c>
      <c r="J255" s="11" t="s">
        <v>1769</v>
      </c>
      <c r="K255" s="11" t="s">
        <v>1769</v>
      </c>
      <c r="L255" s="11" t="s">
        <v>1769</v>
      </c>
      <c r="M255" s="12" t="s">
        <v>1769</v>
      </c>
      <c r="N255" s="12" t="s">
        <v>1769</v>
      </c>
      <c r="O255" s="12" t="s">
        <v>1769</v>
      </c>
      <c r="P255" s="12" t="s">
        <v>1769</v>
      </c>
      <c r="Q255" s="15" t="s">
        <v>1769</v>
      </c>
      <c r="R255" s="12"/>
      <c r="S255" s="43" t="str">
        <f>_xll.RtGet("IDN",$X255,$S$9)</f>
        <v>#N/A The record could not be found</v>
      </c>
      <c r="T255" s="43" t="str">
        <f>_xll.RtGet("IDN",$X255,$T$9)</f>
        <v>#N/A The record could not be found</v>
      </c>
      <c r="U255" s="25" t="e">
        <f t="shared" si="33"/>
        <v>#DIV/0!</v>
      </c>
      <c r="V255" s="12"/>
      <c r="W255" s="25" t="e">
        <f t="shared" si="34"/>
        <v>#DIV/0!</v>
      </c>
      <c r="X255" s="14" t="str">
        <f t="shared" si="28"/>
        <v>=</v>
      </c>
      <c r="Y255" s="14"/>
      <c r="Z255" s="14"/>
      <c r="AA255" s="14"/>
      <c r="AB255" s="14"/>
      <c r="AC255" s="14"/>
      <c r="AD255" s="34" t="e">
        <f>IF(ISNUMBER($D255),_xll.xlBondYield($F255,$H255,$G255,$J255,$K255,$L255,$M255,$D255,$W255,IF(NOT($H255),TRUE,FALSE)),"")</f>
        <v>#NUM!</v>
      </c>
      <c r="AE255" s="12"/>
      <c r="AF255" s="12"/>
      <c r="AG255" s="12"/>
      <c r="AH255" s="14"/>
      <c r="AI255" s="14"/>
      <c r="AJ255" s="14"/>
      <c r="AK255" s="246" t="e">
        <f>IF(ISNUMBER($D255),_xll.xlBondAswSpread($F255&amp;T(TYPE($AV$1)),$H255,$G255,$J255,$K255,$L255,$M255,$D255,$W255,IF(NOT($H255),TRUE,FALSE),curveName,curveName,,,2),"")</f>
        <v>#NUM!</v>
      </c>
      <c r="AL255" s="213" t="e">
        <f>IF($W255&gt;0,_xll.xlBondZSpread(F255&amp;T(TYPE($AV$1)),H255,G255,J255,K255,L255,M255,D255,U255,"annual",5,IF(NOT($H255),TRUE,FALSE),curveName)*100,"")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4" t="str">
        <f>IF($AN$9+(($AL$9-$AM$9))*('DB Basis'!F415/10-'DB Basis'!E415),," ")</f>
        <v xml:space="preserve"> </v>
      </c>
      <c r="AO255" s="639" t="e">
        <f>IF(U255&gt;0,_xll.xlShmImplSwap2(curveName&amp;T(TYPE($AV$1)),curveName,D255,G255,,1,8,2,4),"")</f>
        <v>#DIV/0!</v>
      </c>
      <c r="AP255" s="640" t="str">
        <f t="shared" si="29"/>
        <v>-</v>
      </c>
      <c r="AQ255" s="386" t="str">
        <f t="shared" si="30"/>
        <v>-</v>
      </c>
      <c r="AR255" s="386" t="str">
        <f t="shared" si="31"/>
        <v>-</v>
      </c>
      <c r="AS255" s="388"/>
      <c r="AT255" s="242" t="str">
        <f t="shared" si="32"/>
        <v>-</v>
      </c>
      <c r="AU255" s="686" t="str">
        <f t="shared" si="27"/>
        <v>#ERROR: Invalid ISIN  #ERROR: Invalid ISIN  #ERROR: Invalid ISIN</v>
      </c>
      <c r="AV255" s="702"/>
      <c r="AW255" s="684"/>
      <c r="AX255" s="684"/>
      <c r="AY255" s="684"/>
      <c r="AZ255" s="684"/>
      <c r="BA255" s="684"/>
      <c r="BC255" s="697"/>
      <c r="BE255" s="706">
        <f>_xll.xlDateShiftMonth(BE254,1)</f>
        <v>50614</v>
      </c>
      <c r="BF255" s="707">
        <v>2.6816144331015365E-2</v>
      </c>
      <c r="BU255" s="133" t="s">
        <v>599</v>
      </c>
      <c r="BV255" s="133" t="s">
        <v>599</v>
      </c>
      <c r="BW255" s="133" t="s">
        <v>599</v>
      </c>
      <c r="BX255" s="133" t="s">
        <v>599</v>
      </c>
      <c r="BY255" s="133" t="s">
        <v>599</v>
      </c>
      <c r="BZ255" s="133" t="s">
        <v>599</v>
      </c>
      <c r="CA255" s="133" t="s">
        <v>599</v>
      </c>
      <c r="CB255" s="133" t="s">
        <v>599</v>
      </c>
      <c r="CC255" s="133" t="s">
        <v>599</v>
      </c>
      <c r="CD255" s="133" t="s">
        <v>599</v>
      </c>
      <c r="CE255" s="133" t="s">
        <v>599</v>
      </c>
      <c r="CF255" s="133" t="s">
        <v>599</v>
      </c>
    </row>
    <row r="256" spans="1:84">
      <c r="A256" s="10"/>
      <c r="B256" s="11"/>
      <c r="C256" s="12"/>
      <c r="D256" s="720">
        <f>MAX(_xll.xlDateSettle("TARGET",$D$4,2),L256)</f>
        <v>43179</v>
      </c>
      <c r="E256" s="718"/>
      <c r="F256" s="13" t="s">
        <v>1769</v>
      </c>
      <c r="G256" s="35" t="s">
        <v>1769</v>
      </c>
      <c r="H256" s="37" t="s">
        <v>1769</v>
      </c>
      <c r="I256" s="11" t="s">
        <v>1769</v>
      </c>
      <c r="J256" s="11" t="s">
        <v>1769</v>
      </c>
      <c r="K256" s="11" t="s">
        <v>1769</v>
      </c>
      <c r="L256" s="11" t="s">
        <v>1769</v>
      </c>
      <c r="M256" s="12" t="s">
        <v>1769</v>
      </c>
      <c r="N256" s="12" t="s">
        <v>1769</v>
      </c>
      <c r="O256" s="12" t="s">
        <v>1769</v>
      </c>
      <c r="P256" s="12" t="s">
        <v>1769</v>
      </c>
      <c r="Q256" s="15" t="s">
        <v>1769</v>
      </c>
      <c r="R256" s="12"/>
      <c r="S256" s="43" t="str">
        <f>_xll.RtGet("IDN",$X256,$S$9)</f>
        <v>#N/A The record could not be found</v>
      </c>
      <c r="T256" s="43" t="str">
        <f>_xll.RtGet("IDN",$X256,$T$9)</f>
        <v>#N/A The record could not be found</v>
      </c>
      <c r="U256" s="25" t="e">
        <f t="shared" si="33"/>
        <v>#DIV/0!</v>
      </c>
      <c r="V256" s="12"/>
      <c r="W256" s="25" t="e">
        <f t="shared" si="34"/>
        <v>#DIV/0!</v>
      </c>
      <c r="X256" s="14" t="str">
        <f t="shared" si="28"/>
        <v>=</v>
      </c>
      <c r="Y256" s="14"/>
      <c r="Z256" s="14"/>
      <c r="AA256" s="14"/>
      <c r="AB256" s="14"/>
      <c r="AC256" s="14"/>
      <c r="AD256" s="34" t="e">
        <f>IF(ISNUMBER($D256),_xll.xlBondYield($F256,$H256,$G256,$J256,$K256,$L256,$M256,$D256,$W256,IF(NOT($H256),TRUE,FALSE)),"")</f>
        <v>#NUM!</v>
      </c>
      <c r="AE256" s="12"/>
      <c r="AF256" s="12"/>
      <c r="AG256" s="12"/>
      <c r="AH256" s="14"/>
      <c r="AI256" s="14"/>
      <c r="AJ256" s="14"/>
      <c r="AK256" s="246" t="e">
        <f>IF(ISNUMBER($D256),_xll.xlBondAswSpread($F256&amp;T(TYPE($AV$1)),$H256,$G256,$J256,$K256,$L256,$M256,$D256,$W256,IF(NOT($H256),TRUE,FALSE),curveName,curveName,,,2),"")</f>
        <v>#NUM!</v>
      </c>
      <c r="AL256" s="213" t="e">
        <f>IF($W256&gt;0,_xll.xlBondZSpread(F256&amp;T(TYPE($AV$1)),H256,G256,J256,K256,L256,M256,D256,U256,"annual",5,IF(NOT($H256),TRUE,FALSE),curveName)*100,"")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4" t="str">
        <f>IF($AN$9+(($AL$9-$AM$9))*('DB Basis'!F416/10-'DB Basis'!E416),," ")</f>
        <v xml:space="preserve"> </v>
      </c>
      <c r="AO256" s="639" t="e">
        <f>IF(U256&gt;0,_xll.xlShmImplSwap2(curveName&amp;T(TYPE($AV$1)),curveName,D256,G256,,1,8,2,4),"")</f>
        <v>#DIV/0!</v>
      </c>
      <c r="AP256" s="640" t="str">
        <f t="shared" si="29"/>
        <v>-</v>
      </c>
      <c r="AQ256" s="386" t="str">
        <f t="shared" si="30"/>
        <v>-</v>
      </c>
      <c r="AR256" s="386" t="str">
        <f t="shared" si="31"/>
        <v>-</v>
      </c>
      <c r="AS256" s="388"/>
      <c r="AT256" s="242" t="str">
        <f t="shared" si="32"/>
        <v>-</v>
      </c>
      <c r="AU256" s="686" t="str">
        <f t="shared" si="27"/>
        <v>#ERROR: Invalid ISIN  #ERROR: Invalid ISIN  #ERROR: Invalid ISIN</v>
      </c>
      <c r="AV256" s="702"/>
      <c r="AW256" s="684"/>
      <c r="AX256" s="684"/>
      <c r="AY256" s="684"/>
      <c r="AZ256" s="684"/>
      <c r="BA256" s="684"/>
      <c r="BC256" s="697"/>
      <c r="BE256" s="706">
        <f>_xll.xlDateShiftMonth(BE255,1)</f>
        <v>50645</v>
      </c>
      <c r="BF256" s="707">
        <v>2.6854409204743031E-2</v>
      </c>
      <c r="BU256" s="133" t="s">
        <v>599</v>
      </c>
      <c r="BV256" s="133" t="s">
        <v>599</v>
      </c>
      <c r="BW256" s="133" t="s">
        <v>599</v>
      </c>
      <c r="BX256" s="133" t="s">
        <v>599</v>
      </c>
      <c r="BY256" s="133" t="s">
        <v>599</v>
      </c>
      <c r="BZ256" s="133" t="s">
        <v>599</v>
      </c>
      <c r="CA256" s="133" t="s">
        <v>599</v>
      </c>
      <c r="CB256" s="133" t="s">
        <v>599</v>
      </c>
      <c r="CC256" s="133" t="s">
        <v>599</v>
      </c>
      <c r="CD256" s="133" t="s">
        <v>599</v>
      </c>
      <c r="CE256" s="133" t="s">
        <v>599</v>
      </c>
      <c r="CF256" s="133" t="s">
        <v>599</v>
      </c>
    </row>
    <row r="257" spans="1:84">
      <c r="A257" s="10"/>
      <c r="B257" s="11"/>
      <c r="C257" s="12"/>
      <c r="D257" s="720">
        <f>MAX(_xll.xlDateSettle("TARGET",$D$4,2),L257)</f>
        <v>43179</v>
      </c>
      <c r="E257" s="718"/>
      <c r="F257" s="13" t="s">
        <v>1769</v>
      </c>
      <c r="G257" s="35" t="s">
        <v>1769</v>
      </c>
      <c r="H257" s="37" t="s">
        <v>1769</v>
      </c>
      <c r="I257" s="11" t="s">
        <v>1769</v>
      </c>
      <c r="J257" s="11" t="s">
        <v>1769</v>
      </c>
      <c r="K257" s="11" t="s">
        <v>1769</v>
      </c>
      <c r="L257" s="11" t="s">
        <v>1769</v>
      </c>
      <c r="M257" s="12" t="s">
        <v>1769</v>
      </c>
      <c r="N257" s="12" t="s">
        <v>1769</v>
      </c>
      <c r="O257" s="12" t="s">
        <v>1769</v>
      </c>
      <c r="P257" s="12" t="s">
        <v>1769</v>
      </c>
      <c r="Q257" s="15" t="s">
        <v>1769</v>
      </c>
      <c r="R257" s="12"/>
      <c r="S257" s="43" t="str">
        <f>_xll.RtGet("IDN",$X257,$S$9)</f>
        <v>#N/A The record could not be found</v>
      </c>
      <c r="T257" s="43" t="str">
        <f>_xll.RtGet("IDN",$X257,$T$9)</f>
        <v>#N/A The record could not be found</v>
      </c>
      <c r="U257" s="25" t="e">
        <f t="shared" si="33"/>
        <v>#DIV/0!</v>
      </c>
      <c r="V257" s="12"/>
      <c r="W257" s="25" t="e">
        <f t="shared" si="34"/>
        <v>#DIV/0!</v>
      </c>
      <c r="X257" s="14" t="str">
        <f t="shared" si="28"/>
        <v>=</v>
      </c>
      <c r="Y257" s="14"/>
      <c r="Z257" s="14"/>
      <c r="AA257" s="14"/>
      <c r="AB257" s="14"/>
      <c r="AC257" s="14"/>
      <c r="AD257" s="34" t="e">
        <f>IF(ISNUMBER($D257),_xll.xlBondYield($F257,$H257,$G257,$J257,$K257,$L257,$M257,$D257,$W257,IF(NOT($H257),TRUE,FALSE)),"")</f>
        <v>#NUM!</v>
      </c>
      <c r="AE257" s="12"/>
      <c r="AF257" s="12"/>
      <c r="AG257" s="12"/>
      <c r="AH257" s="14"/>
      <c r="AI257" s="14"/>
      <c r="AJ257" s="14"/>
      <c r="AK257" s="246" t="e">
        <f>IF(ISNUMBER($D257),_xll.xlBondAswSpread($F257&amp;T(TYPE($AV$1)),$H257,$G257,$J257,$K257,$L257,$M257,$D257,$W257,IF(NOT($H257),TRUE,FALSE),curveName,curveName,,,2),"")</f>
        <v>#NUM!</v>
      </c>
      <c r="AL257" s="213" t="e">
        <f>IF($W257&gt;0,_xll.xlBondZSpread(F257&amp;T(TYPE($AV$1)),H257,G257,J257,K257,L257,M257,D257,U257,"annual",5,IF(NOT($H257),TRUE,FALSE),curveName)*100,"")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4" t="str">
        <f>IF($AN$9+(($AL$9-$AM$9))*('DB Basis'!F417/10-'DB Basis'!E417),," ")</f>
        <v xml:space="preserve"> </v>
      </c>
      <c r="AO257" s="639" t="e">
        <f>IF(U257&gt;0,_xll.xlShmImplSwap2(curveName&amp;T(TYPE($AV$1)),curveName,D257,G257,,1,8,2,4),"")</f>
        <v>#DIV/0!</v>
      </c>
      <c r="AP257" s="640" t="str">
        <f t="shared" si="29"/>
        <v>-</v>
      </c>
      <c r="AQ257" s="386" t="str">
        <f t="shared" si="30"/>
        <v>-</v>
      </c>
      <c r="AR257" s="386" t="str">
        <f t="shared" si="31"/>
        <v>-</v>
      </c>
      <c r="AS257" s="388"/>
      <c r="AT257" s="242" t="str">
        <f t="shared" si="32"/>
        <v>-</v>
      </c>
      <c r="AU257" s="686" t="str">
        <f t="shared" si="27"/>
        <v>#ERROR: Invalid ISIN  #ERROR: Invalid ISIN  #ERROR: Invalid ISIN</v>
      </c>
      <c r="AV257" s="702"/>
      <c r="AW257" s="684"/>
      <c r="AX257" s="684"/>
      <c r="AY257" s="684"/>
      <c r="AZ257" s="684"/>
      <c r="BA257" s="684"/>
      <c r="BC257" s="697"/>
      <c r="BE257" s="706">
        <f>_xll.xlDateShiftMonth(BE256,1)</f>
        <v>50676</v>
      </c>
      <c r="BF257" s="707">
        <v>2.689306288541345E-2</v>
      </c>
      <c r="BU257" s="133" t="s">
        <v>599</v>
      </c>
      <c r="BV257" s="133" t="s">
        <v>599</v>
      </c>
      <c r="BW257" s="133" t="s">
        <v>599</v>
      </c>
      <c r="BX257" s="133" t="s">
        <v>599</v>
      </c>
      <c r="BY257" s="133" t="s">
        <v>599</v>
      </c>
      <c r="BZ257" s="133" t="s">
        <v>599</v>
      </c>
      <c r="CA257" s="133" t="s">
        <v>599</v>
      </c>
      <c r="CB257" s="133" t="s">
        <v>599</v>
      </c>
      <c r="CC257" s="133" t="s">
        <v>599</v>
      </c>
      <c r="CD257" s="133" t="s">
        <v>599</v>
      </c>
      <c r="CE257" s="133" t="s">
        <v>599</v>
      </c>
      <c r="CF257" s="133" t="s">
        <v>599</v>
      </c>
    </row>
    <row r="258" spans="1:84">
      <c r="A258" s="10"/>
      <c r="B258" s="11"/>
      <c r="C258" s="12"/>
      <c r="D258" s="720">
        <f>MAX(_xll.xlDateSettle("TARGET",$D$4,2),L258)</f>
        <v>43179</v>
      </c>
      <c r="E258" s="718"/>
      <c r="F258" s="13" t="s">
        <v>1769</v>
      </c>
      <c r="G258" s="35" t="s">
        <v>1769</v>
      </c>
      <c r="H258" s="37" t="s">
        <v>1769</v>
      </c>
      <c r="I258" s="11" t="s">
        <v>1769</v>
      </c>
      <c r="J258" s="11" t="s">
        <v>1769</v>
      </c>
      <c r="K258" s="11" t="s">
        <v>1769</v>
      </c>
      <c r="L258" s="11" t="s">
        <v>1769</v>
      </c>
      <c r="M258" s="12" t="s">
        <v>1769</v>
      </c>
      <c r="N258" s="12" t="s">
        <v>1769</v>
      </c>
      <c r="O258" s="12" t="s">
        <v>1769</v>
      </c>
      <c r="P258" s="12" t="s">
        <v>1769</v>
      </c>
      <c r="Q258" s="15" t="s">
        <v>1769</v>
      </c>
      <c r="R258" s="12"/>
      <c r="S258" s="43" t="str">
        <f>_xll.RtGet("IDN",$X258,$S$9)</f>
        <v>#N/A The record could not be found</v>
      </c>
      <c r="T258" s="43" t="str">
        <f>_xll.RtGet("IDN",$X258,$T$9)</f>
        <v>#N/A The record could not be found</v>
      </c>
      <c r="U258" s="25" t="e">
        <f t="shared" si="33"/>
        <v>#DIV/0!</v>
      </c>
      <c r="V258" s="12"/>
      <c r="W258" s="25" t="e">
        <f t="shared" si="34"/>
        <v>#DIV/0!</v>
      </c>
      <c r="X258" s="14" t="str">
        <f t="shared" si="28"/>
        <v>=</v>
      </c>
      <c r="Y258" s="14"/>
      <c r="Z258" s="14"/>
      <c r="AA258" s="14"/>
      <c r="AB258" s="14"/>
      <c r="AC258" s="14"/>
      <c r="AD258" s="34" t="e">
        <f>IF(ISNUMBER($D258),_xll.xlBondYield($F258,$H258,$G258,$J258,$K258,$L258,$M258,$D258,$W258,IF(NOT($H258),TRUE,FALSE)),"")</f>
        <v>#NUM!</v>
      </c>
      <c r="AE258" s="12"/>
      <c r="AF258" s="12"/>
      <c r="AG258" s="12"/>
      <c r="AH258" s="14"/>
      <c r="AI258" s="14"/>
      <c r="AJ258" s="14"/>
      <c r="AK258" s="246" t="e">
        <f>IF(ISNUMBER($D258),_xll.xlBondAswSpread($F258&amp;T(TYPE($AV$1)),$H258,$G258,$J258,$K258,$L258,$M258,$D258,$W258,IF(NOT($H258),TRUE,FALSE),curveName,curveName,,,2),"")</f>
        <v>#NUM!</v>
      </c>
      <c r="AL258" s="213" t="e">
        <f>IF($W258&gt;0,_xll.xlBondZSpread(F258&amp;T(TYPE($AV$1)),H258,G258,J258,K258,L258,M258,D258,U258,"annual",5,IF(NOT($H258),TRUE,FALSE),curveName)*100,"")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4" t="str">
        <f>IF($AN$9+(($AL$9-$AM$9))*('DB Basis'!F418/10-'DB Basis'!E418),," ")</f>
        <v xml:space="preserve"> </v>
      </c>
      <c r="AO258" s="639" t="e">
        <f>IF(U258&gt;0,_xll.xlShmImplSwap2(curveName&amp;T(TYPE($AV$1)),curveName,D258,G258,,1,8,2,4),"")</f>
        <v>#DIV/0!</v>
      </c>
      <c r="AP258" s="640" t="str">
        <f t="shared" si="29"/>
        <v>-</v>
      </c>
      <c r="AQ258" s="386" t="str">
        <f t="shared" si="30"/>
        <v>-</v>
      </c>
      <c r="AR258" s="386" t="str">
        <f t="shared" si="31"/>
        <v>-</v>
      </c>
      <c r="AS258" s="388"/>
      <c r="AT258" s="242" t="str">
        <f t="shared" si="32"/>
        <v>-</v>
      </c>
      <c r="AU258" s="686" t="str">
        <f t="shared" si="27"/>
        <v>#ERROR: Invalid ISIN  #ERROR: Invalid ISIN  #ERROR: Invalid ISIN</v>
      </c>
      <c r="AV258" s="702"/>
      <c r="AW258" s="684"/>
      <c r="AX258" s="684"/>
      <c r="AY258" s="684"/>
      <c r="AZ258" s="684"/>
      <c r="BA258" s="684"/>
      <c r="BC258" s="697"/>
      <c r="BE258" s="706">
        <f>_xll.xlDateShiftMonth(BE257,1)</f>
        <v>50706</v>
      </c>
      <c r="BF258" s="707">
        <v>2.6930859681855709E-2</v>
      </c>
      <c r="BU258" s="133" t="s">
        <v>599</v>
      </c>
      <c r="BV258" s="133" t="s">
        <v>599</v>
      </c>
      <c r="BW258" s="133" t="s">
        <v>599</v>
      </c>
      <c r="BX258" s="133" t="s">
        <v>599</v>
      </c>
      <c r="BY258" s="133" t="s">
        <v>599</v>
      </c>
      <c r="BZ258" s="133" t="s">
        <v>599</v>
      </c>
      <c r="CA258" s="133" t="s">
        <v>599</v>
      </c>
      <c r="CB258" s="133" t="s">
        <v>599</v>
      </c>
      <c r="CC258" s="133" t="s">
        <v>599</v>
      </c>
      <c r="CD258" s="133" t="s">
        <v>599</v>
      </c>
      <c r="CE258" s="133" t="s">
        <v>599</v>
      </c>
      <c r="CF258" s="133" t="s">
        <v>599</v>
      </c>
    </row>
    <row r="259" spans="1:84">
      <c r="A259" s="10"/>
      <c r="B259" s="11"/>
      <c r="C259" s="12"/>
      <c r="D259" s="720">
        <f>MAX(_xll.xlDateSettle("TARGET",$D$4,2),L259)</f>
        <v>43179</v>
      </c>
      <c r="E259" s="718"/>
      <c r="F259" s="13" t="s">
        <v>1769</v>
      </c>
      <c r="G259" s="35" t="s">
        <v>1769</v>
      </c>
      <c r="H259" s="37" t="s">
        <v>1769</v>
      </c>
      <c r="I259" s="11" t="s">
        <v>1769</v>
      </c>
      <c r="J259" s="11" t="s">
        <v>1769</v>
      </c>
      <c r="K259" s="11" t="s">
        <v>1769</v>
      </c>
      <c r="L259" s="11" t="s">
        <v>1769</v>
      </c>
      <c r="M259" s="12" t="s">
        <v>1769</v>
      </c>
      <c r="N259" s="12" t="s">
        <v>1769</v>
      </c>
      <c r="O259" s="12" t="s">
        <v>1769</v>
      </c>
      <c r="P259" s="12" t="s">
        <v>1769</v>
      </c>
      <c r="Q259" s="15" t="s">
        <v>1769</v>
      </c>
      <c r="R259" s="12"/>
      <c r="S259" s="43" t="str">
        <f>_xll.RtGet("IDN",$X259,$S$9)</f>
        <v>#N/A The record could not be found</v>
      </c>
      <c r="T259" s="43" t="str">
        <f>_xll.RtGet("IDN",$X259,$T$9)</f>
        <v>#N/A The record could not be found</v>
      </c>
      <c r="U259" s="25" t="e">
        <f t="shared" si="33"/>
        <v>#DIV/0!</v>
      </c>
      <c r="V259" s="12"/>
      <c r="W259" s="25" t="e">
        <f t="shared" si="34"/>
        <v>#DIV/0!</v>
      </c>
      <c r="X259" s="14" t="str">
        <f t="shared" si="28"/>
        <v>=</v>
      </c>
      <c r="Y259" s="14"/>
      <c r="Z259" s="14"/>
      <c r="AA259" s="14"/>
      <c r="AB259" s="14"/>
      <c r="AC259" s="14"/>
      <c r="AD259" s="34" t="e">
        <f>IF(ISNUMBER($D259),_xll.xlBondYield($F259,$H259,$G259,$J259,$K259,$L259,$M259,$D259,$W259,IF(NOT($H259),TRUE,FALSE)),"")</f>
        <v>#NUM!</v>
      </c>
      <c r="AE259" s="12"/>
      <c r="AF259" s="12"/>
      <c r="AG259" s="12"/>
      <c r="AH259" s="14"/>
      <c r="AI259" s="14"/>
      <c r="AJ259" s="14"/>
      <c r="AK259" s="246" t="e">
        <f>IF(ISNUMBER($D259),_xll.xlBondAswSpread($F259&amp;T(TYPE($AV$1)),$H259,$G259,$J259,$K259,$L259,$M259,$D259,$W259,IF(NOT($H259),TRUE,FALSE),curveName,curveName,,,2),"")</f>
        <v>#NUM!</v>
      </c>
      <c r="AL259" s="213" t="e">
        <f>IF($W259&gt;0,_xll.xlBondZSpread(F259&amp;T(TYPE($AV$1)),H259,G259,J259,K259,L259,M259,D259,U259,"annual",5,IF(NOT($H259),TRUE,FALSE),curveName)*100,"")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4" t="str">
        <f>IF($AN$9+(($AL$9-$AM$9))*('DB Basis'!F419/10-'DB Basis'!E419),," ")</f>
        <v xml:space="preserve"> </v>
      </c>
      <c r="AO259" s="639" t="e">
        <f>IF(U259&gt;0,_xll.xlShmImplSwap2(curveName&amp;T(TYPE($AV$1)),curveName,D259,G259,,1,8,2,4),"")</f>
        <v>#DIV/0!</v>
      </c>
      <c r="AP259" s="640" t="str">
        <f t="shared" si="29"/>
        <v>-</v>
      </c>
      <c r="AQ259" s="386" t="str">
        <f t="shared" si="30"/>
        <v>-</v>
      </c>
      <c r="AR259" s="386" t="str">
        <f t="shared" si="31"/>
        <v>-</v>
      </c>
      <c r="AS259" s="388"/>
      <c r="AT259" s="242" t="str">
        <f t="shared" si="32"/>
        <v>-</v>
      </c>
      <c r="AU259" s="686" t="str">
        <f t="shared" si="27"/>
        <v>#ERROR: Invalid ISIN  #ERROR: Invalid ISIN  #ERROR: Invalid ISIN</v>
      </c>
      <c r="AV259" s="702"/>
      <c r="AW259" s="684"/>
      <c r="AX259" s="684"/>
      <c r="AY259" s="684"/>
      <c r="AZ259" s="684"/>
      <c r="BA259" s="684"/>
      <c r="BC259" s="697"/>
      <c r="BE259" s="706">
        <f>_xll.xlDateShiftMonth(BE258,1)</f>
        <v>50737</v>
      </c>
      <c r="BF259" s="707">
        <v>2.6970339853622856E-2</v>
      </c>
      <c r="BU259" s="133" t="s">
        <v>599</v>
      </c>
      <c r="BV259" s="133" t="s">
        <v>599</v>
      </c>
      <c r="BW259" s="133" t="s">
        <v>599</v>
      </c>
      <c r="BX259" s="133" t="s">
        <v>599</v>
      </c>
      <c r="BY259" s="133" t="s">
        <v>599</v>
      </c>
      <c r="BZ259" s="133" t="s">
        <v>599</v>
      </c>
      <c r="CA259" s="133" t="s">
        <v>599</v>
      </c>
      <c r="CB259" s="133" t="s">
        <v>599</v>
      </c>
      <c r="CC259" s="133" t="s">
        <v>599</v>
      </c>
      <c r="CD259" s="133" t="s">
        <v>599</v>
      </c>
      <c r="CE259" s="133" t="s">
        <v>599</v>
      </c>
      <c r="CF259" s="133" t="s">
        <v>599</v>
      </c>
    </row>
    <row r="260" spans="1:84">
      <c r="A260" s="10"/>
      <c r="B260" s="11"/>
      <c r="C260" s="12"/>
      <c r="D260" s="720">
        <f>MAX(_xll.xlDateSettle("TARGET",$D$4,2),L260)</f>
        <v>43179</v>
      </c>
      <c r="E260" s="718"/>
      <c r="F260" s="13" t="s">
        <v>1769</v>
      </c>
      <c r="G260" s="35" t="s">
        <v>1769</v>
      </c>
      <c r="H260" s="37" t="s">
        <v>1769</v>
      </c>
      <c r="I260" s="11" t="s">
        <v>1769</v>
      </c>
      <c r="J260" s="11" t="s">
        <v>1769</v>
      </c>
      <c r="K260" s="11" t="s">
        <v>1769</v>
      </c>
      <c r="L260" s="11" t="s">
        <v>1769</v>
      </c>
      <c r="M260" s="12" t="s">
        <v>1769</v>
      </c>
      <c r="N260" s="12" t="s">
        <v>1769</v>
      </c>
      <c r="O260" s="12" t="s">
        <v>1769</v>
      </c>
      <c r="P260" s="12" t="s">
        <v>1769</v>
      </c>
      <c r="Q260" s="15" t="s">
        <v>1769</v>
      </c>
      <c r="R260" s="12"/>
      <c r="S260" s="43" t="str">
        <f>_xll.RtGet("IDN",$X260,$S$9)</f>
        <v>#N/A The record could not be found</v>
      </c>
      <c r="T260" s="43" t="str">
        <f>_xll.RtGet("IDN",$X260,$T$9)</f>
        <v>#N/A The record could not be found</v>
      </c>
      <c r="U260" s="25" t="e">
        <f t="shared" si="33"/>
        <v>#DIV/0!</v>
      </c>
      <c r="V260" s="12"/>
      <c r="W260" s="25" t="e">
        <f t="shared" si="34"/>
        <v>#DIV/0!</v>
      </c>
      <c r="X260" s="14" t="str">
        <f t="shared" si="28"/>
        <v>=</v>
      </c>
      <c r="Y260" s="14"/>
      <c r="Z260" s="14"/>
      <c r="AA260" s="14"/>
      <c r="AB260" s="14"/>
      <c r="AC260" s="14"/>
      <c r="AD260" s="34" t="e">
        <f>IF(ISNUMBER($D260),_xll.xlBondYield($F260,$H260,$G260,$J260,$K260,$L260,$M260,$D260,$W260,IF(NOT($H260),TRUE,FALSE)),"")</f>
        <v>#NUM!</v>
      </c>
      <c r="AE260" s="12"/>
      <c r="AF260" s="12"/>
      <c r="AG260" s="12"/>
      <c r="AH260" s="14"/>
      <c r="AI260" s="14"/>
      <c r="AJ260" s="14"/>
      <c r="AK260" s="246" t="e">
        <f>IF(ISNUMBER($D260),_xll.xlBondAswSpread($F260&amp;T(TYPE($AV$1)),$H260,$G260,$J260,$K260,$L260,$M260,$D260,$W260,IF(NOT($H260),TRUE,FALSE),curveName,curveName,,,2),"")</f>
        <v>#NUM!</v>
      </c>
      <c r="AL260" s="213" t="e">
        <f>IF($W260&gt;0,_xll.xlBondZSpread(F260&amp;T(TYPE($AV$1)),H260,G260,J260,K260,L260,M260,D260,U260,"annual",5,IF(NOT($H260),TRUE,FALSE),curveName)*100,"")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4" t="str">
        <f>IF($AN$9+(($AL$9-$AM$9))*('DB Basis'!F420/10-'DB Basis'!E420),," ")</f>
        <v xml:space="preserve"> </v>
      </c>
      <c r="AO260" s="639" t="e">
        <f>IF(U260&gt;0,_xll.xlShmImplSwap2(curveName&amp;T(TYPE($AV$1)),curveName,D260,G260,,1,8,2,4),"")</f>
        <v>#DIV/0!</v>
      </c>
      <c r="AP260" s="640" t="str">
        <f t="shared" si="29"/>
        <v>-</v>
      </c>
      <c r="AQ260" s="386" t="str">
        <f t="shared" si="30"/>
        <v>-</v>
      </c>
      <c r="AR260" s="386" t="str">
        <f t="shared" si="31"/>
        <v>-</v>
      </c>
      <c r="AS260" s="388"/>
      <c r="AT260" s="242" t="str">
        <f t="shared" si="32"/>
        <v>-</v>
      </c>
      <c r="AU260" s="686" t="str">
        <f t="shared" si="27"/>
        <v>#ERROR: Invalid ISIN  #ERROR: Invalid ISIN  #ERROR: Invalid ISIN</v>
      </c>
      <c r="AV260" s="702"/>
      <c r="AW260" s="684"/>
      <c r="AX260" s="684"/>
      <c r="AY260" s="684"/>
      <c r="AZ260" s="684"/>
      <c r="BA260" s="684"/>
      <c r="BC260" s="697"/>
      <c r="BE260" s="706">
        <f>_xll.xlDateShiftMonth(BE259,1)</f>
        <v>50767</v>
      </c>
      <c r="BF260" s="707">
        <v>2.7008975890203724E-2</v>
      </c>
      <c r="BU260" s="133" t="s">
        <v>599</v>
      </c>
      <c r="BV260" s="133" t="s">
        <v>599</v>
      </c>
      <c r="BW260" s="133" t="s">
        <v>599</v>
      </c>
      <c r="BX260" s="133" t="s">
        <v>599</v>
      </c>
      <c r="BY260" s="133" t="s">
        <v>599</v>
      </c>
      <c r="BZ260" s="133" t="s">
        <v>599</v>
      </c>
      <c r="CA260" s="133" t="s">
        <v>599</v>
      </c>
      <c r="CB260" s="133" t="s">
        <v>599</v>
      </c>
      <c r="CC260" s="133" t="s">
        <v>599</v>
      </c>
      <c r="CD260" s="133" t="s">
        <v>599</v>
      </c>
      <c r="CE260" s="133" t="s">
        <v>599</v>
      </c>
      <c r="CF260" s="133" t="s">
        <v>599</v>
      </c>
    </row>
    <row r="261" spans="1:84">
      <c r="A261" s="10"/>
      <c r="B261" s="11"/>
      <c r="C261" s="12"/>
      <c r="D261" s="720">
        <f>MAX(_xll.xlDateSettle("TARGET",$D$4,2),L261)</f>
        <v>43179</v>
      </c>
      <c r="E261" s="718"/>
      <c r="F261" s="13" t="s">
        <v>1769</v>
      </c>
      <c r="G261" s="35" t="s">
        <v>1769</v>
      </c>
      <c r="H261" s="37" t="s">
        <v>1769</v>
      </c>
      <c r="I261" s="11" t="s">
        <v>1769</v>
      </c>
      <c r="J261" s="11" t="s">
        <v>1769</v>
      </c>
      <c r="K261" s="11" t="s">
        <v>1769</v>
      </c>
      <c r="L261" s="11" t="s">
        <v>1769</v>
      </c>
      <c r="M261" s="12" t="s">
        <v>1769</v>
      </c>
      <c r="N261" s="12" t="s">
        <v>1769</v>
      </c>
      <c r="O261" s="12" t="s">
        <v>1769</v>
      </c>
      <c r="P261" s="12" t="s">
        <v>1769</v>
      </c>
      <c r="Q261" s="15" t="s">
        <v>1769</v>
      </c>
      <c r="R261" s="12"/>
      <c r="S261" s="43" t="str">
        <f>_xll.RtGet("IDN",$X261,$S$9)</f>
        <v>#N/A The record could not be found</v>
      </c>
      <c r="T261" s="43" t="str">
        <f>_xll.RtGet("IDN",$X261,$T$9)</f>
        <v>#N/A The record could not be found</v>
      </c>
      <c r="U261" s="25" t="e">
        <f t="shared" si="33"/>
        <v>#DIV/0!</v>
      </c>
      <c r="V261" s="12"/>
      <c r="W261" s="25" t="e">
        <f t="shared" si="34"/>
        <v>#DIV/0!</v>
      </c>
      <c r="X261" s="14" t="str">
        <f t="shared" si="28"/>
        <v>=</v>
      </c>
      <c r="Y261" s="14"/>
      <c r="Z261" s="14"/>
      <c r="AA261" s="14"/>
      <c r="AB261" s="14"/>
      <c r="AC261" s="14"/>
      <c r="AD261" s="34" t="e">
        <f>IF(ISNUMBER($D261),_xll.xlBondYield($F261,$H261,$G261,$J261,$K261,$L261,$M261,$D261,$W261,IF(NOT($H261),TRUE,FALSE)),"")</f>
        <v>#NUM!</v>
      </c>
      <c r="AE261" s="12"/>
      <c r="AF261" s="12"/>
      <c r="AG261" s="12"/>
      <c r="AH261" s="14"/>
      <c r="AI261" s="14"/>
      <c r="AJ261" s="14"/>
      <c r="AK261" s="246" t="e">
        <f>IF(ISNUMBER($D261),_xll.xlBondAswSpread($F261&amp;T(TYPE($AV$1)),$H261,$G261,$J261,$K261,$L261,$M261,$D261,$W261,IF(NOT($H261),TRUE,FALSE),curveName,curveName,,,2),"")</f>
        <v>#NUM!</v>
      </c>
      <c r="AL261" s="213" t="e">
        <f>IF($W261&gt;0,_xll.xlBondZSpread(F261&amp;T(TYPE($AV$1)),H261,G261,J261,K261,L261,M261,D261,U261,"annual",5,IF(NOT($H261),TRUE,FALSE),curveName)*100,"")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4" t="str">
        <f>IF($AN$9+(($AL$9-$AM$9))*('DB Basis'!F421/10-'DB Basis'!E421),," ")</f>
        <v xml:space="preserve"> </v>
      </c>
      <c r="AO261" s="639" t="e">
        <f>IF(U261&gt;0,_xll.xlShmImplSwap2(curveName&amp;T(TYPE($AV$1)),curveName,D261,G261,,1,8,2,4),"")</f>
        <v>#DIV/0!</v>
      </c>
      <c r="AP261" s="640" t="str">
        <f t="shared" si="29"/>
        <v>-</v>
      </c>
      <c r="AQ261" s="386" t="str">
        <f t="shared" si="30"/>
        <v>-</v>
      </c>
      <c r="AR261" s="386" t="str">
        <f t="shared" si="31"/>
        <v>-</v>
      </c>
      <c r="AS261" s="388"/>
      <c r="AT261" s="242" t="str">
        <f t="shared" si="32"/>
        <v>-</v>
      </c>
      <c r="AU261" s="686" t="str">
        <f t="shared" si="27"/>
        <v>#ERROR: Invalid ISIN  #ERROR: Invalid ISIN  #ERROR: Invalid ISIN</v>
      </c>
      <c r="AV261" s="702"/>
      <c r="AW261" s="684"/>
      <c r="AX261" s="684"/>
      <c r="AY261" s="684"/>
      <c r="AZ261" s="684"/>
      <c r="BA261" s="684"/>
      <c r="BC261" s="697"/>
      <c r="BE261" s="706">
        <f>_xll.xlDateShiftMonth(BE260,1)</f>
        <v>50798</v>
      </c>
      <c r="BF261" s="707">
        <v>2.7049364000493934E-2</v>
      </c>
      <c r="BU261" s="133" t="s">
        <v>599</v>
      </c>
      <c r="BV261" s="133" t="s">
        <v>599</v>
      </c>
      <c r="BW261" s="133" t="s">
        <v>599</v>
      </c>
      <c r="BX261" s="133" t="s">
        <v>599</v>
      </c>
      <c r="BY261" s="133" t="s">
        <v>599</v>
      </c>
      <c r="BZ261" s="133" t="s">
        <v>599</v>
      </c>
      <c r="CA261" s="133" t="s">
        <v>599</v>
      </c>
      <c r="CB261" s="133" t="s">
        <v>599</v>
      </c>
      <c r="CC261" s="133" t="s">
        <v>599</v>
      </c>
      <c r="CD261" s="133" t="s">
        <v>599</v>
      </c>
      <c r="CE261" s="133" t="s">
        <v>599</v>
      </c>
      <c r="CF261" s="133" t="s">
        <v>599</v>
      </c>
    </row>
    <row r="262" spans="1:84">
      <c r="A262" s="10"/>
      <c r="B262" s="11"/>
      <c r="C262" s="12"/>
      <c r="D262" s="720">
        <f>MAX(_xll.xlDateSettle("TARGET",$D$4,2),L262)</f>
        <v>43179</v>
      </c>
      <c r="E262" s="718"/>
      <c r="F262" s="13" t="s">
        <v>1769</v>
      </c>
      <c r="G262" s="35" t="s">
        <v>1769</v>
      </c>
      <c r="H262" s="37" t="s">
        <v>1769</v>
      </c>
      <c r="I262" s="11" t="s">
        <v>1769</v>
      </c>
      <c r="J262" s="11" t="s">
        <v>1769</v>
      </c>
      <c r="K262" s="11" t="s">
        <v>1769</v>
      </c>
      <c r="L262" s="11" t="s">
        <v>1769</v>
      </c>
      <c r="M262" s="12" t="s">
        <v>1769</v>
      </c>
      <c r="N262" s="12" t="s">
        <v>1769</v>
      </c>
      <c r="O262" s="12" t="s">
        <v>1769</v>
      </c>
      <c r="P262" s="12" t="s">
        <v>1769</v>
      </c>
      <c r="Q262" s="15" t="s">
        <v>1769</v>
      </c>
      <c r="R262" s="12"/>
      <c r="S262" s="43" t="str">
        <f>_xll.RtGet("IDN",$X262,$S$9)</f>
        <v>#N/A The record could not be found</v>
      </c>
      <c r="T262" s="43" t="str">
        <f>_xll.RtGet("IDN",$X262,$T$9)</f>
        <v>#N/A The record could not be found</v>
      </c>
      <c r="U262" s="25" t="e">
        <f t="shared" si="33"/>
        <v>#DIV/0!</v>
      </c>
      <c r="V262" s="12"/>
      <c r="W262" s="25" t="e">
        <f t="shared" si="34"/>
        <v>#DIV/0!</v>
      </c>
      <c r="X262" s="14" t="str">
        <f t="shared" si="28"/>
        <v>=</v>
      </c>
      <c r="Y262" s="14"/>
      <c r="Z262" s="14"/>
      <c r="AA262" s="14"/>
      <c r="AB262" s="14"/>
      <c r="AC262" s="14"/>
      <c r="AD262" s="34" t="e">
        <f>IF(ISNUMBER($D262),_xll.xlBondYield($F262,$H262,$G262,$J262,$K262,$L262,$M262,$D262,$W262,IF(NOT($H262),TRUE,FALSE)),"")</f>
        <v>#NUM!</v>
      </c>
      <c r="AE262" s="12"/>
      <c r="AF262" s="12"/>
      <c r="AG262" s="12"/>
      <c r="AH262" s="14"/>
      <c r="AI262" s="14"/>
      <c r="AJ262" s="14"/>
      <c r="AK262" s="246" t="e">
        <f>IF(ISNUMBER($D262),_xll.xlBondAswSpread($F262&amp;T(TYPE($AV$1)),$H262,$G262,$J262,$K262,$L262,$M262,$D262,$W262,IF(NOT($H262),TRUE,FALSE),curveName,curveName,,,2),"")</f>
        <v>#NUM!</v>
      </c>
      <c r="AL262" s="213" t="e">
        <f>IF($W262&gt;0,_xll.xlBondZSpread(F262&amp;T(TYPE($AV$1)),H262,G262,J262,K262,L262,M262,D262,U262,"annual",5,IF(NOT($H262),TRUE,FALSE),curveName)*100,"")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4" t="str">
        <f>IF($AN$9+(($AL$9-$AM$9))*('DB Basis'!F422/10-'DB Basis'!E422),," ")</f>
        <v xml:space="preserve"> </v>
      </c>
      <c r="AO262" s="639" t="e">
        <f>IF(U262&gt;0,_xll.xlShmImplSwap2(curveName&amp;T(TYPE($AV$1)),curveName,D262,G262,,1,8,2,4),"")</f>
        <v>#DIV/0!</v>
      </c>
      <c r="AP262" s="640" t="str">
        <f t="shared" si="29"/>
        <v>-</v>
      </c>
      <c r="AQ262" s="386" t="str">
        <f t="shared" si="30"/>
        <v>-</v>
      </c>
      <c r="AR262" s="386" t="str">
        <f t="shared" si="31"/>
        <v>-</v>
      </c>
      <c r="AS262" s="388"/>
      <c r="AT262" s="242" t="str">
        <f t="shared" si="32"/>
        <v>-</v>
      </c>
      <c r="AU262" s="686" t="str">
        <f t="shared" si="27"/>
        <v>#ERROR: Invalid ISIN  #ERROR: Invalid ISIN  #ERROR: Invalid ISIN</v>
      </c>
      <c r="AV262" s="702"/>
      <c r="AW262" s="684"/>
      <c r="AX262" s="684"/>
      <c r="AY262" s="684"/>
      <c r="AZ262" s="684"/>
      <c r="BA262" s="684"/>
      <c r="BC262" s="697"/>
      <c r="BE262" s="706">
        <f>_xll.xlDateShiftMonth(BE261,1)</f>
        <v>50829</v>
      </c>
      <c r="BF262" s="707">
        <v>2.7090244735287518E-2</v>
      </c>
      <c r="BU262" s="133" t="s">
        <v>599</v>
      </c>
      <c r="BV262" s="133" t="s">
        <v>599</v>
      </c>
      <c r="BW262" s="133" t="s">
        <v>599</v>
      </c>
      <c r="BX262" s="133" t="s">
        <v>599</v>
      </c>
      <c r="BY262" s="133" t="s">
        <v>599</v>
      </c>
      <c r="BZ262" s="133" t="s">
        <v>599</v>
      </c>
      <c r="CA262" s="133" t="s">
        <v>599</v>
      </c>
      <c r="CB262" s="133" t="s">
        <v>599</v>
      </c>
      <c r="CC262" s="133" t="s">
        <v>599</v>
      </c>
      <c r="CD262" s="133" t="s">
        <v>599</v>
      </c>
      <c r="CE262" s="133" t="s">
        <v>599</v>
      </c>
      <c r="CF262" s="133" t="s">
        <v>599</v>
      </c>
    </row>
    <row r="263" spans="1:84">
      <c r="A263" s="10"/>
      <c r="B263" s="11"/>
      <c r="C263" s="12"/>
      <c r="D263" s="720">
        <f>MAX(_xll.xlDateSettle("TARGET",$D$4,2),L263)</f>
        <v>43179</v>
      </c>
      <c r="E263" s="718"/>
      <c r="F263" s="13" t="s">
        <v>1769</v>
      </c>
      <c r="G263" s="35" t="s">
        <v>1769</v>
      </c>
      <c r="H263" s="37" t="s">
        <v>1769</v>
      </c>
      <c r="I263" s="11" t="s">
        <v>1769</v>
      </c>
      <c r="J263" s="11" t="s">
        <v>1769</v>
      </c>
      <c r="K263" s="11" t="s">
        <v>1769</v>
      </c>
      <c r="L263" s="11" t="s">
        <v>1769</v>
      </c>
      <c r="M263" s="12" t="s">
        <v>1769</v>
      </c>
      <c r="N263" s="12" t="s">
        <v>1769</v>
      </c>
      <c r="O263" s="12" t="s">
        <v>1769</v>
      </c>
      <c r="P263" s="12" t="s">
        <v>1769</v>
      </c>
      <c r="Q263" s="15" t="s">
        <v>1769</v>
      </c>
      <c r="R263" s="12"/>
      <c r="S263" s="43" t="str">
        <f>_xll.RtGet("IDN",$X263,$S$9)</f>
        <v>#N/A The record could not be found</v>
      </c>
      <c r="T263" s="43" t="str">
        <f>_xll.RtGet("IDN",$X263,$T$9)</f>
        <v>#N/A The record could not be found</v>
      </c>
      <c r="U263" s="25" t="e">
        <f t="shared" si="33"/>
        <v>#DIV/0!</v>
      </c>
      <c r="V263" s="12"/>
      <c r="W263" s="25" t="e">
        <f t="shared" si="34"/>
        <v>#DIV/0!</v>
      </c>
      <c r="X263" s="14" t="str">
        <f t="shared" si="28"/>
        <v>=</v>
      </c>
      <c r="Y263" s="14"/>
      <c r="Z263" s="14"/>
      <c r="AA263" s="14"/>
      <c r="AB263" s="14"/>
      <c r="AC263" s="14"/>
      <c r="AD263" s="34" t="e">
        <f>IF(ISNUMBER($D263),_xll.xlBondYield($F263,$H263,$G263,$J263,$K263,$L263,$M263,$D263,$W263,IF(NOT($H263),TRUE,FALSE)),"")</f>
        <v>#NUM!</v>
      </c>
      <c r="AE263" s="12"/>
      <c r="AF263" s="12"/>
      <c r="AG263" s="12"/>
      <c r="AH263" s="14"/>
      <c r="AI263" s="14"/>
      <c r="AJ263" s="14"/>
      <c r="AK263" s="246" t="e">
        <f>IF(ISNUMBER($D263),_xll.xlBondAswSpread($F263&amp;T(TYPE($AV$1)),$H263,$G263,$J263,$K263,$L263,$M263,$D263,$W263,IF(NOT($H263),TRUE,FALSE),curveName,curveName,,,2),"")</f>
        <v>#NUM!</v>
      </c>
      <c r="AL263" s="213" t="e">
        <f>IF($W263&gt;0,_xll.xlBondZSpread(F263&amp;T(TYPE($AV$1)),H263,G263,J263,K263,L263,M263,D263,U263,"annual",5,IF(NOT($H263),TRUE,FALSE),curveName)*100,"")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4" t="str">
        <f>IF($AN$9+(($AL$9-$AM$9))*('DB Basis'!F423/10-'DB Basis'!E423),," ")</f>
        <v xml:space="preserve"> </v>
      </c>
      <c r="AO263" s="639" t="e">
        <f>IF(U263&gt;0,_xll.xlShmImplSwap2(curveName&amp;T(TYPE($AV$1)),curveName,D263,G263,,1,8,2,4),"")</f>
        <v>#DIV/0!</v>
      </c>
      <c r="AP263" s="640" t="str">
        <f t="shared" si="29"/>
        <v>-</v>
      </c>
      <c r="AQ263" s="386" t="str">
        <f t="shared" si="30"/>
        <v>-</v>
      </c>
      <c r="AR263" s="386" t="str">
        <f t="shared" si="31"/>
        <v>-</v>
      </c>
      <c r="AS263" s="388"/>
      <c r="AT263" s="242" t="str">
        <f t="shared" si="32"/>
        <v>-</v>
      </c>
      <c r="AU263" s="686" t="str">
        <f t="shared" si="27"/>
        <v>#ERROR: Invalid ISIN  #ERROR: Invalid ISIN  #ERROR: Invalid ISIN</v>
      </c>
      <c r="AV263" s="702"/>
      <c r="AW263" s="684"/>
      <c r="AX263" s="684"/>
      <c r="AY263" s="684"/>
      <c r="AZ263" s="684"/>
      <c r="BA263" s="684"/>
      <c r="BC263" s="697"/>
      <c r="BE263" s="706">
        <f>_xll.xlDateShiftMonth(BE262,1)</f>
        <v>50857</v>
      </c>
      <c r="BF263" s="707">
        <v>2.7127610187955745E-2</v>
      </c>
      <c r="BU263" s="133" t="s">
        <v>599</v>
      </c>
      <c r="BV263" s="133" t="s">
        <v>599</v>
      </c>
      <c r="BW263" s="133" t="s">
        <v>599</v>
      </c>
      <c r="BX263" s="133" t="s">
        <v>599</v>
      </c>
      <c r="BY263" s="133" t="s">
        <v>599</v>
      </c>
      <c r="BZ263" s="133" t="s">
        <v>599</v>
      </c>
      <c r="CA263" s="133" t="s">
        <v>599</v>
      </c>
      <c r="CB263" s="133" t="s">
        <v>599</v>
      </c>
      <c r="CC263" s="133" t="s">
        <v>599</v>
      </c>
      <c r="CD263" s="133" t="s">
        <v>599</v>
      </c>
      <c r="CE263" s="133" t="s">
        <v>599</v>
      </c>
      <c r="CF263" s="133" t="s">
        <v>599</v>
      </c>
    </row>
    <row r="264" spans="1:84">
      <c r="A264" s="10"/>
      <c r="B264" s="11"/>
      <c r="C264" s="12"/>
      <c r="D264" s="720">
        <f>MAX(_xll.xlDateSettle("TARGET",$D$4,2),L264)</f>
        <v>43179</v>
      </c>
      <c r="E264" s="718"/>
      <c r="F264" s="13" t="s">
        <v>1769</v>
      </c>
      <c r="G264" s="35" t="s">
        <v>1769</v>
      </c>
      <c r="H264" s="37" t="s">
        <v>1769</v>
      </c>
      <c r="I264" s="11" t="s">
        <v>1769</v>
      </c>
      <c r="J264" s="11" t="s">
        <v>1769</v>
      </c>
      <c r="K264" s="11" t="s">
        <v>1769</v>
      </c>
      <c r="L264" s="11" t="s">
        <v>1769</v>
      </c>
      <c r="M264" s="12" t="s">
        <v>1769</v>
      </c>
      <c r="N264" s="12" t="s">
        <v>1769</v>
      </c>
      <c r="O264" s="12" t="s">
        <v>1769</v>
      </c>
      <c r="P264" s="12" t="s">
        <v>1769</v>
      </c>
      <c r="Q264" s="15" t="s">
        <v>1769</v>
      </c>
      <c r="R264" s="12"/>
      <c r="S264" s="43" t="str">
        <f>_xll.RtGet("IDN",$X264,$S$9)</f>
        <v>#N/A The record could not be found</v>
      </c>
      <c r="T264" s="43" t="str">
        <f>_xll.RtGet("IDN",$X264,$T$9)</f>
        <v>#N/A The record could not be found</v>
      </c>
      <c r="U264" s="25" t="e">
        <f t="shared" si="33"/>
        <v>#DIV/0!</v>
      </c>
      <c r="V264" s="12"/>
      <c r="W264" s="25" t="e">
        <f t="shared" si="34"/>
        <v>#DIV/0!</v>
      </c>
      <c r="X264" s="14" t="str">
        <f t="shared" si="28"/>
        <v>=</v>
      </c>
      <c r="Y264" s="14"/>
      <c r="Z264" s="14"/>
      <c r="AA264" s="14"/>
      <c r="AB264" s="14"/>
      <c r="AC264" s="14"/>
      <c r="AD264" s="34" t="e">
        <f>IF(ISNUMBER($D264),_xll.xlBondYield($F264,$H264,$G264,$J264,$K264,$L264,$M264,$D264,$W264,IF(NOT($H264),TRUE,FALSE)),"")</f>
        <v>#NUM!</v>
      </c>
      <c r="AE264" s="12"/>
      <c r="AF264" s="12"/>
      <c r="AG264" s="12"/>
      <c r="AH264" s="14"/>
      <c r="AI264" s="14"/>
      <c r="AJ264" s="14"/>
      <c r="AK264" s="246" t="e">
        <f>IF(ISNUMBER($D264),_xll.xlBondAswSpread($F264&amp;T(TYPE($AV$1)),$H264,$G264,$J264,$K264,$L264,$M264,$D264,$W264,IF(NOT($H264),TRUE,FALSE),curveName,curveName,,,2),"")</f>
        <v>#NUM!</v>
      </c>
      <c r="AL264" s="213" t="e">
        <f>IF($W264&gt;0,_xll.xlBondZSpread(F264&amp;T(TYPE($AV$1)),H264,G264,J264,K264,L264,M264,D264,U264,"annual",5,IF(NOT($H264),TRUE,FALSE),curveName)*100,"")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4" t="str">
        <f>IF($AN$9+(($AL$9-$AM$9))*('DB Basis'!F424/10-'DB Basis'!E424),," ")</f>
        <v xml:space="preserve"> </v>
      </c>
      <c r="AO264" s="639" t="e">
        <f>IF(U264&gt;0,_xll.xlShmImplSwap2(curveName&amp;T(TYPE($AV$1)),curveName,D264,G264,,1,8,2,4),"")</f>
        <v>#DIV/0!</v>
      </c>
      <c r="AP264" s="640" t="str">
        <f t="shared" si="29"/>
        <v>-</v>
      </c>
      <c r="AQ264" s="386" t="str">
        <f t="shared" si="30"/>
        <v>-</v>
      </c>
      <c r="AR264" s="386" t="str">
        <f t="shared" si="31"/>
        <v>-</v>
      </c>
      <c r="AS264" s="388"/>
      <c r="AT264" s="242" t="str">
        <f t="shared" si="32"/>
        <v>-</v>
      </c>
      <c r="AU264" s="686" t="str">
        <f t="shared" si="27"/>
        <v>#ERROR: Invalid ISIN  #ERROR: Invalid ISIN  #ERROR: Invalid ISIN</v>
      </c>
      <c r="AV264" s="702"/>
      <c r="AW264" s="684"/>
      <c r="AX264" s="684"/>
      <c r="AY264" s="684"/>
      <c r="AZ264" s="684"/>
      <c r="BA264" s="684"/>
      <c r="BC264" s="697"/>
      <c r="BE264" s="706">
        <f>_xll.xlDateShiftMonth(BE263,1)</f>
        <v>50888</v>
      </c>
      <c r="BF264" s="707">
        <v>2.7169486612611326E-2</v>
      </c>
      <c r="BU264" s="133" t="s">
        <v>599</v>
      </c>
      <c r="BV264" s="133" t="s">
        <v>599</v>
      </c>
      <c r="BW264" s="133" t="s">
        <v>599</v>
      </c>
      <c r="BX264" s="133" t="s">
        <v>599</v>
      </c>
      <c r="BY264" s="133" t="s">
        <v>599</v>
      </c>
      <c r="BZ264" s="133" t="s">
        <v>599</v>
      </c>
      <c r="CA264" s="133" t="s">
        <v>599</v>
      </c>
      <c r="CB264" s="133" t="s">
        <v>599</v>
      </c>
      <c r="CC264" s="133" t="s">
        <v>599</v>
      </c>
      <c r="CD264" s="133" t="s">
        <v>599</v>
      </c>
      <c r="CE264" s="133" t="s">
        <v>599</v>
      </c>
      <c r="CF264" s="133" t="s">
        <v>599</v>
      </c>
    </row>
    <row r="265" spans="1:84">
      <c r="A265" s="10"/>
      <c r="B265" s="11"/>
      <c r="C265" s="12"/>
      <c r="D265" s="720">
        <f>MAX(_xll.xlDateSettle("TARGET",$D$4,2),L265)</f>
        <v>43179</v>
      </c>
      <c r="E265" s="718"/>
      <c r="F265" s="13" t="s">
        <v>1769</v>
      </c>
      <c r="G265" s="35" t="s">
        <v>1769</v>
      </c>
      <c r="H265" s="37" t="s">
        <v>1769</v>
      </c>
      <c r="I265" s="11" t="s">
        <v>1769</v>
      </c>
      <c r="J265" s="11" t="s">
        <v>1769</v>
      </c>
      <c r="K265" s="11" t="s">
        <v>1769</v>
      </c>
      <c r="L265" s="11" t="s">
        <v>1769</v>
      </c>
      <c r="M265" s="12" t="s">
        <v>1769</v>
      </c>
      <c r="N265" s="12" t="s">
        <v>1769</v>
      </c>
      <c r="O265" s="12" t="s">
        <v>1769</v>
      </c>
      <c r="P265" s="12" t="s">
        <v>1769</v>
      </c>
      <c r="Q265" s="15" t="s">
        <v>1769</v>
      </c>
      <c r="R265" s="12"/>
      <c r="S265" s="43" t="str">
        <f>_xll.RtGet("IDN",$X265,$S$9)</f>
        <v>#N/A The record could not be found</v>
      </c>
      <c r="T265" s="43" t="str">
        <f>_xll.RtGet("IDN",$X265,$T$9)</f>
        <v>#N/A The record could not be found</v>
      </c>
      <c r="U265" s="25" t="e">
        <f t="shared" si="33"/>
        <v>#DIV/0!</v>
      </c>
      <c r="V265" s="12"/>
      <c r="W265" s="25" t="e">
        <f t="shared" si="34"/>
        <v>#DIV/0!</v>
      </c>
      <c r="X265" s="14" t="str">
        <f t="shared" si="28"/>
        <v>=</v>
      </c>
      <c r="Y265" s="14"/>
      <c r="Z265" s="14"/>
      <c r="AA265" s="14"/>
      <c r="AB265" s="14"/>
      <c r="AC265" s="14"/>
      <c r="AD265" s="34" t="e">
        <f>IF(ISNUMBER($D265),_xll.xlBondYield($F265,$H265,$G265,$J265,$K265,$L265,$M265,$D265,$W265,IF(NOT($H265),TRUE,FALSE)),"")</f>
        <v>#NUM!</v>
      </c>
      <c r="AE265" s="12"/>
      <c r="AF265" s="12"/>
      <c r="AG265" s="12"/>
      <c r="AH265" s="14"/>
      <c r="AI265" s="14"/>
      <c r="AJ265" s="14"/>
      <c r="AK265" s="246" t="e">
        <f>IF(ISNUMBER($D265),_xll.xlBondAswSpread($F265&amp;T(TYPE($AV$1)),$H265,$G265,$J265,$K265,$L265,$M265,$D265,$W265,IF(NOT($H265),TRUE,FALSE),curveName,curveName,,,2),"")</f>
        <v>#NUM!</v>
      </c>
      <c r="AL265" s="213" t="e">
        <f>IF($W265&gt;0,_xll.xlBondZSpread(F265&amp;T(TYPE($AV$1)),H265,G265,J265,K265,L265,M265,D265,U265,"annual",5,IF(NOT($H265),TRUE,FALSE),curveName)*100,"")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4" t="str">
        <f>IF($AN$9+(($AL$9-$AM$9))*('DB Basis'!F425/10-'DB Basis'!E425),," ")</f>
        <v xml:space="preserve"> </v>
      </c>
      <c r="AO265" s="639" t="e">
        <f>IF(U265&gt;0,_xll.xlShmImplSwap2(curveName&amp;T(TYPE($AV$1)),curveName,D265,G265,,1,8,2,4),"")</f>
        <v>#DIV/0!</v>
      </c>
      <c r="AP265" s="640" t="str">
        <f t="shared" si="29"/>
        <v>-</v>
      </c>
      <c r="AQ265" s="386" t="str">
        <f t="shared" si="30"/>
        <v>-</v>
      </c>
      <c r="AR265" s="386" t="str">
        <f t="shared" si="31"/>
        <v>-</v>
      </c>
      <c r="AS265" s="388"/>
      <c r="AT265" s="242" t="str">
        <f t="shared" si="32"/>
        <v>-</v>
      </c>
      <c r="AU265" s="686" t="str">
        <f t="shared" si="27"/>
        <v>#ERROR: Invalid ISIN  #ERROR: Invalid ISIN  #ERROR: Invalid ISIN</v>
      </c>
      <c r="AV265" s="702"/>
      <c r="AW265" s="684"/>
      <c r="AX265" s="684"/>
      <c r="AY265" s="684"/>
      <c r="AZ265" s="684"/>
      <c r="BA265" s="684"/>
      <c r="BC265" s="697"/>
      <c r="BE265" s="706">
        <f>_xll.xlDateShiftMonth(BE264,1)</f>
        <v>50918</v>
      </c>
      <c r="BF265" s="707">
        <v>2.7210539159613391E-2</v>
      </c>
      <c r="BU265" s="133" t="s">
        <v>599</v>
      </c>
      <c r="BV265" s="133" t="s">
        <v>599</v>
      </c>
      <c r="BW265" s="133" t="s">
        <v>599</v>
      </c>
      <c r="BX265" s="133" t="s">
        <v>599</v>
      </c>
      <c r="BY265" s="133" t="s">
        <v>599</v>
      </c>
      <c r="BZ265" s="133" t="s">
        <v>599</v>
      </c>
      <c r="CA265" s="133" t="s">
        <v>599</v>
      </c>
      <c r="CB265" s="133" t="s">
        <v>599</v>
      </c>
      <c r="CC265" s="133" t="s">
        <v>599</v>
      </c>
      <c r="CD265" s="133" t="s">
        <v>599</v>
      </c>
      <c r="CE265" s="133" t="s">
        <v>599</v>
      </c>
      <c r="CF265" s="133" t="s">
        <v>599</v>
      </c>
    </row>
    <row r="266" spans="1:84">
      <c r="A266" s="10"/>
      <c r="B266" s="11"/>
      <c r="C266" s="12"/>
      <c r="D266" s="720">
        <f>MAX(_xll.xlDateSettle("TARGET",$D$4,2),L266)</f>
        <v>43179</v>
      </c>
      <c r="E266" s="718"/>
      <c r="F266" s="13" t="s">
        <v>1769</v>
      </c>
      <c r="G266" s="35" t="s">
        <v>1769</v>
      </c>
      <c r="H266" s="37" t="s">
        <v>1769</v>
      </c>
      <c r="I266" s="11" t="s">
        <v>1769</v>
      </c>
      <c r="J266" s="11" t="s">
        <v>1769</v>
      </c>
      <c r="K266" s="11" t="s">
        <v>1769</v>
      </c>
      <c r="L266" s="11" t="s">
        <v>1769</v>
      </c>
      <c r="M266" s="12" t="s">
        <v>1769</v>
      </c>
      <c r="N266" s="12" t="s">
        <v>1769</v>
      </c>
      <c r="O266" s="12" t="s">
        <v>1769</v>
      </c>
      <c r="P266" s="12" t="s">
        <v>1769</v>
      </c>
      <c r="Q266" s="15" t="s">
        <v>1769</v>
      </c>
      <c r="R266" s="12"/>
      <c r="S266" s="43" t="str">
        <f>_xll.RtGet("IDN",$X266,$S$9)</f>
        <v>#N/A The record could not be found</v>
      </c>
      <c r="T266" s="43" t="str">
        <f>_xll.RtGet("IDN",$X266,$T$9)</f>
        <v>#N/A The record could not be found</v>
      </c>
      <c r="U266" s="25" t="e">
        <f t="shared" si="33"/>
        <v>#DIV/0!</v>
      </c>
      <c r="V266" s="12"/>
      <c r="W266" s="25" t="e">
        <f t="shared" si="34"/>
        <v>#DIV/0!</v>
      </c>
      <c r="X266" s="14" t="str">
        <f t="shared" si="28"/>
        <v>=</v>
      </c>
      <c r="Y266" s="14"/>
      <c r="Z266" s="14"/>
      <c r="AA266" s="14"/>
      <c r="AB266" s="14"/>
      <c r="AC266" s="14"/>
      <c r="AD266" s="34" t="e">
        <f>IF(ISNUMBER($D266),_xll.xlBondYield($F266,$H266,$G266,$J266,$K266,$L266,$M266,$D266,$W266,IF(NOT($H266),TRUE,FALSE)),"")</f>
        <v>#NUM!</v>
      </c>
      <c r="AE266" s="12"/>
      <c r="AF266" s="12"/>
      <c r="AG266" s="12"/>
      <c r="AH266" s="14"/>
      <c r="AI266" s="14"/>
      <c r="AJ266" s="14"/>
      <c r="AK266" s="246" t="e">
        <f>IF(ISNUMBER($D266),_xll.xlBondAswSpread($F266&amp;T(TYPE($AV$1)),$H266,$G266,$J266,$K266,$L266,$M266,$D266,$W266,IF(NOT($H266),TRUE,FALSE),curveName,curveName,,,2),"")</f>
        <v>#NUM!</v>
      </c>
      <c r="AL266" s="213" t="e">
        <f>IF($W266&gt;0,_xll.xlBondZSpread(F266&amp;T(TYPE($AV$1)),H266,G266,J266,K266,L266,M266,D266,U266,"annual",5,IF(NOT($H266),TRUE,FALSE),curveName)*100,"")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4" t="str">
        <f>IF($AN$9+(($AL$9-$AM$9))*('DB Basis'!F426/10-'DB Basis'!E426),," ")</f>
        <v xml:space="preserve"> </v>
      </c>
      <c r="AO266" s="639" t="e">
        <f>IF(U266&gt;0,_xll.xlShmImplSwap2(curveName&amp;T(TYPE($AV$1)),curveName,D266,G266,,1,8,2,4),"")</f>
        <v>#DIV/0!</v>
      </c>
      <c r="AP266" s="640" t="str">
        <f t="shared" si="29"/>
        <v>-</v>
      </c>
      <c r="AQ266" s="386" t="str">
        <f t="shared" si="30"/>
        <v>-</v>
      </c>
      <c r="AR266" s="386" t="str">
        <f t="shared" si="31"/>
        <v>-</v>
      </c>
      <c r="AS266" s="388"/>
      <c r="AT266" s="242" t="str">
        <f t="shared" si="32"/>
        <v>-</v>
      </c>
      <c r="AU266" s="686" t="str">
        <f t="shared" si="27"/>
        <v>#ERROR: Invalid ISIN  #ERROR: Invalid ISIN  #ERROR: Invalid ISIN</v>
      </c>
      <c r="AV266" s="702"/>
      <c r="AW266" s="684"/>
      <c r="AX266" s="684"/>
      <c r="AY266" s="684"/>
      <c r="AZ266" s="684"/>
      <c r="BA266" s="684"/>
      <c r="BC266" s="697"/>
      <c r="BE266" s="706">
        <f>_xll.xlDateShiftMonth(BE265,1)</f>
        <v>50949</v>
      </c>
      <c r="BF266" s="707">
        <v>2.7253525138552306E-2</v>
      </c>
      <c r="BU266" s="133" t="s">
        <v>599</v>
      </c>
      <c r="BV266" s="133" t="s">
        <v>599</v>
      </c>
      <c r="BW266" s="133" t="s">
        <v>599</v>
      </c>
      <c r="BX266" s="133" t="s">
        <v>599</v>
      </c>
      <c r="BY266" s="133" t="s">
        <v>599</v>
      </c>
      <c r="BZ266" s="133" t="s">
        <v>599</v>
      </c>
      <c r="CA266" s="133" t="s">
        <v>599</v>
      </c>
      <c r="CB266" s="133" t="s">
        <v>599</v>
      </c>
      <c r="CC266" s="133" t="s">
        <v>599</v>
      </c>
      <c r="CD266" s="133" t="s">
        <v>599</v>
      </c>
      <c r="CE266" s="133" t="s">
        <v>599</v>
      </c>
      <c r="CF266" s="133" t="s">
        <v>599</v>
      </c>
    </row>
    <row r="267" spans="1:84">
      <c r="A267" s="10"/>
      <c r="B267" s="11"/>
      <c r="C267" s="12"/>
      <c r="D267" s="720">
        <f>MAX(_xll.xlDateSettle("TARGET",$D$4,2),L267)</f>
        <v>43179</v>
      </c>
      <c r="E267" s="718"/>
      <c r="F267" s="13" t="s">
        <v>1769</v>
      </c>
      <c r="G267" s="35" t="s">
        <v>1769</v>
      </c>
      <c r="H267" s="37" t="s">
        <v>1769</v>
      </c>
      <c r="I267" s="11" t="s">
        <v>1769</v>
      </c>
      <c r="J267" s="11" t="s">
        <v>1769</v>
      </c>
      <c r="K267" s="11" t="s">
        <v>1769</v>
      </c>
      <c r="L267" s="11" t="s">
        <v>1769</v>
      </c>
      <c r="M267" s="12" t="s">
        <v>1769</v>
      </c>
      <c r="N267" s="12" t="s">
        <v>1769</v>
      </c>
      <c r="O267" s="12" t="s">
        <v>1769</v>
      </c>
      <c r="P267" s="12" t="s">
        <v>1769</v>
      </c>
      <c r="Q267" s="15" t="s">
        <v>1769</v>
      </c>
      <c r="R267" s="12"/>
      <c r="S267" s="43" t="str">
        <f>_xll.RtGet("IDN",$X267,$S$9)</f>
        <v>#N/A The record could not be found</v>
      </c>
      <c r="T267" s="43" t="str">
        <f>_xll.RtGet("IDN",$X267,$T$9)</f>
        <v>#N/A The record could not be found</v>
      </c>
      <c r="U267" s="25" t="e">
        <f t="shared" si="33"/>
        <v>#DIV/0!</v>
      </c>
      <c r="V267" s="12"/>
      <c r="W267" s="25" t="e">
        <f t="shared" si="34"/>
        <v>#DIV/0!</v>
      </c>
      <c r="X267" s="14" t="str">
        <f t="shared" si="28"/>
        <v>=</v>
      </c>
      <c r="Y267" s="14"/>
      <c r="Z267" s="14"/>
      <c r="AA267" s="14"/>
      <c r="AB267" s="14"/>
      <c r="AC267" s="14"/>
      <c r="AD267" s="34" t="e">
        <f>IF(ISNUMBER($D267),_xll.xlBondYield($F267,$H267,$G267,$J267,$K267,$L267,$M267,$D267,$W267,IF(NOT($H267),TRUE,FALSE)),"")</f>
        <v>#NUM!</v>
      </c>
      <c r="AE267" s="12"/>
      <c r="AF267" s="12"/>
      <c r="AG267" s="12"/>
      <c r="AH267" s="14"/>
      <c r="AI267" s="14"/>
      <c r="AJ267" s="14"/>
      <c r="AK267" s="246" t="e">
        <f>IF(ISNUMBER($D267),_xll.xlBondAswSpread($F267&amp;T(TYPE($AV$1)),$H267,$G267,$J267,$K267,$L267,$M267,$D267,$W267,IF(NOT($H267),TRUE,FALSE),curveName,curveName,,,2),"")</f>
        <v>#NUM!</v>
      </c>
      <c r="AL267" s="213" t="e">
        <f>IF($W267&gt;0,_xll.xlBondZSpread(F267&amp;T(TYPE($AV$1)),H267,G267,J267,K267,L267,M267,D267,U267,"annual",5,IF(NOT($H267),TRUE,FALSE),curveName)*100,"")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4" t="str">
        <f>IF($AN$9+(($AL$9-$AM$9))*('DB Basis'!F427/10-'DB Basis'!E427),," ")</f>
        <v xml:space="preserve"> </v>
      </c>
      <c r="AO267" s="639" t="e">
        <f>IF(U267&gt;0,_xll.xlShmImplSwap2(curveName&amp;T(TYPE($AV$1)),curveName,D267,G267,,1,8,2,4),"")</f>
        <v>#DIV/0!</v>
      </c>
      <c r="AP267" s="640" t="str">
        <f t="shared" si="29"/>
        <v>-</v>
      </c>
      <c r="AQ267" s="386" t="str">
        <f t="shared" si="30"/>
        <v>-</v>
      </c>
      <c r="AR267" s="386" t="str">
        <f t="shared" si="31"/>
        <v>-</v>
      </c>
      <c r="AS267" s="388"/>
      <c r="AT267" s="242" t="str">
        <f t="shared" si="32"/>
        <v>-</v>
      </c>
      <c r="AU267" s="686" t="str">
        <f t="shared" si="27"/>
        <v>#ERROR: Invalid ISIN  #ERROR: Invalid ISIN  #ERROR: Invalid ISIN</v>
      </c>
      <c r="AV267" s="702"/>
      <c r="AW267" s="684"/>
      <c r="AX267" s="684"/>
      <c r="AY267" s="684"/>
      <c r="AZ267" s="684"/>
      <c r="BA267" s="684"/>
      <c r="BC267" s="697"/>
      <c r="BE267" s="706">
        <f>_xll.xlDateShiftMonth(BE266,1)</f>
        <v>50979</v>
      </c>
      <c r="BF267" s="707">
        <v>2.7295690857809047E-2</v>
      </c>
      <c r="BU267" s="133" t="s">
        <v>599</v>
      </c>
      <c r="BV267" s="133" t="s">
        <v>599</v>
      </c>
      <c r="BW267" s="133" t="s">
        <v>599</v>
      </c>
      <c r="BX267" s="133" t="s">
        <v>599</v>
      </c>
      <c r="BY267" s="133" t="s">
        <v>599</v>
      </c>
      <c r="BZ267" s="133" t="s">
        <v>599</v>
      </c>
      <c r="CA267" s="133" t="s">
        <v>599</v>
      </c>
      <c r="CB267" s="133" t="s">
        <v>599</v>
      </c>
      <c r="CC267" s="133" t="s">
        <v>599</v>
      </c>
      <c r="CD267" s="133" t="s">
        <v>599</v>
      </c>
      <c r="CE267" s="133" t="s">
        <v>599</v>
      </c>
      <c r="CF267" s="133" t="s">
        <v>599</v>
      </c>
    </row>
    <row r="268" spans="1:84">
      <c r="A268" s="10"/>
      <c r="B268" s="11"/>
      <c r="C268" s="12"/>
      <c r="D268" s="720">
        <f>MAX(_xll.xlDateSettle("TARGET",$D$4,2),L268)</f>
        <v>43179</v>
      </c>
      <c r="E268" s="718"/>
      <c r="F268" s="13" t="s">
        <v>1769</v>
      </c>
      <c r="G268" s="35" t="s">
        <v>1769</v>
      </c>
      <c r="H268" s="37" t="s">
        <v>1769</v>
      </c>
      <c r="I268" s="11" t="s">
        <v>1769</v>
      </c>
      <c r="J268" s="11" t="s">
        <v>1769</v>
      </c>
      <c r="K268" s="11" t="s">
        <v>1769</v>
      </c>
      <c r="L268" s="11" t="s">
        <v>1769</v>
      </c>
      <c r="M268" s="12" t="s">
        <v>1769</v>
      </c>
      <c r="N268" s="12" t="s">
        <v>1769</v>
      </c>
      <c r="O268" s="12" t="s">
        <v>1769</v>
      </c>
      <c r="P268" s="12" t="s">
        <v>1769</v>
      </c>
      <c r="Q268" s="15" t="s">
        <v>1769</v>
      </c>
      <c r="R268" s="12"/>
      <c r="S268" s="43" t="str">
        <f>_xll.RtGet("IDN",$X268,$S$9)</f>
        <v>#N/A The record could not be found</v>
      </c>
      <c r="T268" s="43" t="str">
        <f>_xll.RtGet("IDN",$X268,$T$9)</f>
        <v>#N/A The record could not be found</v>
      </c>
      <c r="U268" s="25" t="e">
        <f t="shared" si="33"/>
        <v>#DIV/0!</v>
      </c>
      <c r="V268" s="12"/>
      <c r="W268" s="25" t="e">
        <f t="shared" si="34"/>
        <v>#DIV/0!</v>
      </c>
      <c r="X268" s="14" t="str">
        <f t="shared" ref="X268:X310" si="35">LEFT($E268,2)&amp;IF(LEFT($E268,2)="FR",MID($E268,3,10),IF(LEFT($E268,2)="ES",MID($E268,4,8),IF(LEFT($E268,2)="PT",MID($E268,3,6)&amp;RIGHT($E268,3),IF(MID($E268,6,1)="0",MID($E268,7,5),MID($E268,6,6)))))&amp;"="&amp;IF(LEFT($E268,2)="IT","TT","")</f>
        <v>=</v>
      </c>
      <c r="Y268" s="14"/>
      <c r="Z268" s="14"/>
      <c r="AA268" s="14"/>
      <c r="AB268" s="14"/>
      <c r="AC268" s="14"/>
      <c r="AD268" s="34" t="e">
        <f>IF(ISNUMBER($D268),_xll.xlBondYield($F268,$H268,$G268,$J268,$K268,$L268,$M268,$D268,$W268,IF(NOT($H268),TRUE,FALSE)),"")</f>
        <v>#NUM!</v>
      </c>
      <c r="AE268" s="12"/>
      <c r="AF268" s="12"/>
      <c r="AG268" s="12"/>
      <c r="AH268" s="14"/>
      <c r="AI268" s="14"/>
      <c r="AJ268" s="14"/>
      <c r="AK268" s="246" t="e">
        <f>IF(ISNUMBER($D268),_xll.xlBondAswSpread($F268&amp;T(TYPE($AV$1)),$H268,$G268,$J268,$K268,$L268,$M268,$D268,$W268,IF(NOT($H268),TRUE,FALSE),curveName,curveName,,,2),"")</f>
        <v>#NUM!</v>
      </c>
      <c r="AL268" s="213" t="e">
        <f>IF($W268&gt;0,_xll.xlBondZSpread(F268&amp;T(TYPE($AV$1)),H268,G268,J268,K268,L268,M268,D268,U268,"annual",5,IF(NOT($H268),TRUE,FALSE),curveName)*100,"")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4" t="str">
        <f>IF($AN$9+(($AL$9-$AM$9))*('DB Basis'!F428/10-'DB Basis'!E428),," ")</f>
        <v xml:space="preserve"> </v>
      </c>
      <c r="AO268" s="639" t="e">
        <f>IF(U268&gt;0,_xll.xlShmImplSwap2(curveName&amp;T(TYPE($AV$1)),curveName,D268,G268,,1,8,2,4),"")</f>
        <v>#DIV/0!</v>
      </c>
      <c r="AP268" s="640" t="str">
        <f t="shared" ref="AP268:AP310" si="36">IF(AND(ISNUMBER(AD268),ISNUMBER(AO268)),AD268-AO268,"-")</f>
        <v>-</v>
      </c>
      <c r="AQ268" s="386" t="str">
        <f t="shared" ref="AQ268:AQ310" si="37">IF(ISNUMBER(((AD268-AD267)/(G268-G267)*365)*10000),((AD268-AD267)/(G268-G267)*365)*10000,"-")</f>
        <v>-</v>
      </c>
      <c r="AR268" s="386" t="str">
        <f t="shared" ref="AR268:AR327" si="38">IF(ISNUMBER(((AP268-AP267)/(G268-G267)*365)*10000),((AP268-AP267)/(G268-G267)*365)*10000,"-")</f>
        <v>-</v>
      </c>
      <c r="AS268" s="388"/>
      <c r="AT268" s="242" t="str">
        <f t="shared" ref="AT268:AT310" si="39">IF(ISNUMBER(AD268),AD268*360/365*100,"-")</f>
        <v>-</v>
      </c>
      <c r="AU268" s="686" t="str">
        <f t="shared" si="27"/>
        <v>#ERROR: Invalid ISIN  #ERROR: Invalid ISIN  #ERROR: Invalid ISIN</v>
      </c>
      <c r="AV268" s="702"/>
      <c r="AW268" s="684"/>
      <c r="AX268" s="684"/>
      <c r="AY268" s="684"/>
      <c r="AZ268" s="684"/>
      <c r="BA268" s="684"/>
      <c r="BC268" s="697"/>
      <c r="BE268" s="706">
        <f>_xll.xlDateShiftMonth(BE267,1)</f>
        <v>51010</v>
      </c>
      <c r="BF268" s="707">
        <v>2.7339867838457623E-2</v>
      </c>
      <c r="BU268" s="133" t="s">
        <v>599</v>
      </c>
      <c r="BV268" s="133" t="s">
        <v>599</v>
      </c>
      <c r="BW268" s="133" t="s">
        <v>599</v>
      </c>
      <c r="BX268" s="133" t="s">
        <v>599</v>
      </c>
      <c r="BY268" s="133" t="s">
        <v>599</v>
      </c>
      <c r="BZ268" s="133" t="s">
        <v>599</v>
      </c>
      <c r="CA268" s="133" t="s">
        <v>599</v>
      </c>
      <c r="CB268" s="133" t="s">
        <v>599</v>
      </c>
      <c r="CC268" s="133" t="s">
        <v>599</v>
      </c>
      <c r="CD268" s="133" t="s">
        <v>599</v>
      </c>
      <c r="CE268" s="133" t="s">
        <v>599</v>
      </c>
      <c r="CF268" s="133" t="s">
        <v>599</v>
      </c>
    </row>
    <row r="269" spans="1:84">
      <c r="A269" s="10"/>
      <c r="B269" s="11"/>
      <c r="C269" s="12"/>
      <c r="D269" s="720">
        <f>MAX(_xll.xlDateSettle("TARGET",$D$4,2),L269)</f>
        <v>43179</v>
      </c>
      <c r="E269" s="718"/>
      <c r="F269" s="13" t="s">
        <v>1769</v>
      </c>
      <c r="G269" s="35" t="s">
        <v>1769</v>
      </c>
      <c r="H269" s="37" t="s">
        <v>1769</v>
      </c>
      <c r="I269" s="11" t="s">
        <v>1769</v>
      </c>
      <c r="J269" s="11" t="s">
        <v>1769</v>
      </c>
      <c r="K269" s="11" t="s">
        <v>1769</v>
      </c>
      <c r="L269" s="11" t="s">
        <v>1769</v>
      </c>
      <c r="M269" s="12" t="s">
        <v>1769</v>
      </c>
      <c r="N269" s="12" t="s">
        <v>1769</v>
      </c>
      <c r="O269" s="12" t="s">
        <v>1769</v>
      </c>
      <c r="P269" s="12" t="s">
        <v>1769</v>
      </c>
      <c r="Q269" s="15" t="s">
        <v>1769</v>
      </c>
      <c r="R269" s="12"/>
      <c r="S269" s="43" t="str">
        <f>_xll.RtGet("IDN",$X269,$S$9)</f>
        <v>#N/A The record could not be found</v>
      </c>
      <c r="T269" s="43" t="str">
        <f>_xll.RtGet("IDN",$X269,$T$9)</f>
        <v>#N/A The record could not be found</v>
      </c>
      <c r="U269" s="25" t="e">
        <f t="shared" ref="U269:U310" si="40">IF($U$4="B",AVERAGE(S269:T269),AVERAGE(S269:T269))</f>
        <v>#DIV/0!</v>
      </c>
      <c r="V269" s="12"/>
      <c r="W269" s="25" t="e">
        <f t="shared" si="34"/>
        <v>#DIV/0!</v>
      </c>
      <c r="X269" s="14" t="str">
        <f t="shared" si="35"/>
        <v>=</v>
      </c>
      <c r="Y269" s="14"/>
      <c r="Z269" s="14"/>
      <c r="AA269" s="14"/>
      <c r="AB269" s="14"/>
      <c r="AC269" s="14"/>
      <c r="AD269" s="34" t="e">
        <f>IF(ISNUMBER($D269),_xll.xlBondYield($F269,$H269,$G269,$J269,$K269,$L269,$M269,$D269,$W269,IF(NOT($H269),TRUE,FALSE)),"")</f>
        <v>#NUM!</v>
      </c>
      <c r="AE269" s="12"/>
      <c r="AF269" s="12"/>
      <c r="AG269" s="12"/>
      <c r="AH269" s="14"/>
      <c r="AI269" s="14"/>
      <c r="AJ269" s="14"/>
      <c r="AK269" s="246" t="e">
        <f>IF(ISNUMBER($D269),_xll.xlBondAswSpread($F269&amp;T(TYPE($AV$1)),$H269,$G269,$J269,$K269,$L269,$M269,$D269,$W269,IF(NOT($H269),TRUE,FALSE),curveName,curveName,,,2),"")</f>
        <v>#NUM!</v>
      </c>
      <c r="AL269" s="213" t="e">
        <f>IF($W269&gt;0,_xll.xlBondZSpread(F269&amp;T(TYPE($AV$1)),H269,G269,J269,K269,L269,M269,D269,U269,"annual",5,IF(NOT($H269),TRUE,FALSE),curveName)*100,"")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4" t="str">
        <f>IF($AN$9+(($AL$9-$AM$9))*('DB Basis'!F429/10-'DB Basis'!E429),," ")</f>
        <v xml:space="preserve"> </v>
      </c>
      <c r="AO269" s="639" t="e">
        <f>IF(U269&gt;0,_xll.xlShmImplSwap2(curveName&amp;T(TYPE($AV$1)),curveName,D269,G269,,1,8,2,4),"")</f>
        <v>#DIV/0!</v>
      </c>
      <c r="AP269" s="640" t="str">
        <f t="shared" si="36"/>
        <v>-</v>
      </c>
      <c r="AQ269" s="386" t="str">
        <f t="shared" si="37"/>
        <v>-</v>
      </c>
      <c r="AR269" s="386" t="str">
        <f t="shared" si="38"/>
        <v>-</v>
      </c>
      <c r="AS269" s="388"/>
      <c r="AT269" s="242" t="str">
        <f t="shared" si="39"/>
        <v>-</v>
      </c>
      <c r="AU269" s="686" t="str">
        <f t="shared" si="27"/>
        <v>#ERROR: Invalid ISIN  #ERROR: Invalid ISIN  #ERROR: Invalid ISIN</v>
      </c>
      <c r="AV269" s="702"/>
      <c r="AW269" s="684"/>
      <c r="AX269" s="684"/>
      <c r="AY269" s="684"/>
      <c r="AZ269" s="684"/>
      <c r="BA269" s="684"/>
      <c r="BC269" s="697"/>
      <c r="BE269" s="706">
        <f>_xll.xlDateShiftMonth(BE268,1)</f>
        <v>51041</v>
      </c>
      <c r="BF269" s="707">
        <v>2.7384681295392933E-2</v>
      </c>
      <c r="BU269" s="133" t="s">
        <v>599</v>
      </c>
      <c r="BV269" s="133" t="s">
        <v>599</v>
      </c>
      <c r="BW269" s="133" t="s">
        <v>599</v>
      </c>
      <c r="BX269" s="133" t="s">
        <v>599</v>
      </c>
      <c r="BY269" s="133" t="s">
        <v>599</v>
      </c>
      <c r="BZ269" s="133" t="s">
        <v>599</v>
      </c>
      <c r="CA269" s="133" t="s">
        <v>599</v>
      </c>
      <c r="CB269" s="133" t="s">
        <v>599</v>
      </c>
      <c r="CC269" s="133" t="s">
        <v>599</v>
      </c>
      <c r="CD269" s="133" t="s">
        <v>599</v>
      </c>
      <c r="CE269" s="133" t="s">
        <v>599</v>
      </c>
      <c r="CF269" s="133" t="s">
        <v>599</v>
      </c>
    </row>
    <row r="270" spans="1:84">
      <c r="A270" s="10"/>
      <c r="B270" s="11"/>
      <c r="C270" s="12"/>
      <c r="D270" s="720">
        <f>MAX(_xll.xlDateSettle("TARGET",$D$4,2),L270)</f>
        <v>43179</v>
      </c>
      <c r="E270" s="718"/>
      <c r="F270" s="13" t="s">
        <v>1769</v>
      </c>
      <c r="G270" s="35" t="s">
        <v>1769</v>
      </c>
      <c r="H270" s="37" t="s">
        <v>1769</v>
      </c>
      <c r="I270" s="11" t="s">
        <v>1769</v>
      </c>
      <c r="J270" s="11" t="s">
        <v>1769</v>
      </c>
      <c r="K270" s="11" t="s">
        <v>1769</v>
      </c>
      <c r="L270" s="11" t="s">
        <v>1769</v>
      </c>
      <c r="M270" s="12" t="s">
        <v>1769</v>
      </c>
      <c r="N270" s="12" t="s">
        <v>1769</v>
      </c>
      <c r="O270" s="12" t="s">
        <v>1769</v>
      </c>
      <c r="P270" s="12" t="s">
        <v>1769</v>
      </c>
      <c r="Q270" s="15" t="s">
        <v>1769</v>
      </c>
      <c r="R270" s="12"/>
      <c r="S270" s="43" t="str">
        <f>_xll.RtGet("IDN",$X270,$S$9)</f>
        <v>#N/A The record could not be found</v>
      </c>
      <c r="T270" s="43" t="str">
        <f>_xll.RtGet("IDN",$X270,$T$9)</f>
        <v>#N/A The record could not be found</v>
      </c>
      <c r="U270" s="25" t="e">
        <f t="shared" si="40"/>
        <v>#DIV/0!</v>
      </c>
      <c r="V270" s="12"/>
      <c r="W270" s="25" t="e">
        <f t="shared" si="34"/>
        <v>#DIV/0!</v>
      </c>
      <c r="X270" s="14" t="str">
        <f t="shared" si="35"/>
        <v>=</v>
      </c>
      <c r="Y270" s="14"/>
      <c r="Z270" s="14"/>
      <c r="AA270" s="14"/>
      <c r="AB270" s="14"/>
      <c r="AC270" s="14"/>
      <c r="AD270" s="34" t="e">
        <f>IF(ISNUMBER($D270),_xll.xlBondYield($F270,$H270,$G270,$J270,$K270,$L270,$M270,$D270,$W270,IF(NOT($H270),TRUE,FALSE)),"")</f>
        <v>#NUM!</v>
      </c>
      <c r="AE270" s="12"/>
      <c r="AF270" s="12"/>
      <c r="AG270" s="12"/>
      <c r="AH270" s="14"/>
      <c r="AI270" s="14"/>
      <c r="AJ270" s="14"/>
      <c r="AK270" s="246" t="e">
        <f>IF(ISNUMBER($D270),_xll.xlBondAswSpread($F270&amp;T(TYPE($AV$1)),$H270,$G270,$J270,$K270,$L270,$M270,$D270,$W270,IF(NOT($H270),TRUE,FALSE),curveName,curveName,,,2),"")</f>
        <v>#NUM!</v>
      </c>
      <c r="AL270" s="213" t="e">
        <f>IF($W270&gt;0,_xll.xlBondZSpread(F270&amp;T(TYPE($AV$1)),H270,G270,J270,K270,L270,M270,D270,U270,"annual",5,IF(NOT($H270),TRUE,FALSE),curveName)*100,"")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4" t="str">
        <f>IF($AN$9+(($AL$9-$AM$9))*('DB Basis'!F430/10-'DB Basis'!E430),," ")</f>
        <v xml:space="preserve"> </v>
      </c>
      <c r="AO270" s="639" t="e">
        <f>IF(U270&gt;0,_xll.xlShmImplSwap2(curveName&amp;T(TYPE($AV$1)),curveName,D270,G270,,1,8,2,4),"")</f>
        <v>#DIV/0!</v>
      </c>
      <c r="AP270" s="640" t="str">
        <f t="shared" si="36"/>
        <v>-</v>
      </c>
      <c r="AQ270" s="386" t="str">
        <f t="shared" si="37"/>
        <v>-</v>
      </c>
      <c r="AR270" s="386" t="str">
        <f t="shared" si="38"/>
        <v>-</v>
      </c>
      <c r="AS270" s="388"/>
      <c r="AT270" s="242" t="str">
        <f t="shared" si="39"/>
        <v>-</v>
      </c>
      <c r="AU270" s="686" t="str">
        <f t="shared" si="27"/>
        <v>#ERROR: Invalid ISIN  #ERROR: Invalid ISIN  #ERROR: Invalid ISIN</v>
      </c>
      <c r="AV270" s="702"/>
      <c r="AW270" s="684"/>
      <c r="AX270" s="684"/>
      <c r="AY270" s="684"/>
      <c r="AZ270" s="684"/>
      <c r="BA270" s="684"/>
      <c r="BC270" s="697"/>
      <c r="BE270" s="706">
        <f>_xll.xlDateShiftMonth(BE269,1)</f>
        <v>51071</v>
      </c>
      <c r="BF270" s="707">
        <v>2.7428674979843616E-2</v>
      </c>
      <c r="BU270" s="133" t="s">
        <v>599</v>
      </c>
      <c r="BV270" s="133" t="s">
        <v>599</v>
      </c>
      <c r="BW270" s="133" t="s">
        <v>599</v>
      </c>
      <c r="BX270" s="133" t="s">
        <v>599</v>
      </c>
      <c r="BY270" s="133" t="s">
        <v>599</v>
      </c>
      <c r="BZ270" s="133" t="s">
        <v>599</v>
      </c>
      <c r="CA270" s="133" t="s">
        <v>599</v>
      </c>
      <c r="CB270" s="133" t="s">
        <v>599</v>
      </c>
      <c r="CC270" s="133" t="s">
        <v>599</v>
      </c>
      <c r="CD270" s="133" t="s">
        <v>599</v>
      </c>
      <c r="CE270" s="133" t="s">
        <v>599</v>
      </c>
      <c r="CF270" s="133" t="s">
        <v>599</v>
      </c>
    </row>
    <row r="271" spans="1:84">
      <c r="A271" s="10"/>
      <c r="B271" s="11"/>
      <c r="C271" s="12"/>
      <c r="D271" s="720">
        <f>MAX(_xll.xlDateSettle("TARGET",$D$4,2),L271)</f>
        <v>43179</v>
      </c>
      <c r="E271" s="718"/>
      <c r="F271" s="13" t="s">
        <v>1769</v>
      </c>
      <c r="G271" s="35" t="s">
        <v>1769</v>
      </c>
      <c r="H271" s="37" t="s">
        <v>1769</v>
      </c>
      <c r="I271" s="11" t="s">
        <v>1769</v>
      </c>
      <c r="J271" s="11" t="s">
        <v>1769</v>
      </c>
      <c r="K271" s="11" t="s">
        <v>1769</v>
      </c>
      <c r="L271" s="11" t="s">
        <v>1769</v>
      </c>
      <c r="M271" s="12" t="s">
        <v>1769</v>
      </c>
      <c r="N271" s="12" t="s">
        <v>1769</v>
      </c>
      <c r="O271" s="12" t="s">
        <v>1769</v>
      </c>
      <c r="P271" s="12" t="s">
        <v>1769</v>
      </c>
      <c r="Q271" s="15" t="s">
        <v>1769</v>
      </c>
      <c r="R271" s="12"/>
      <c r="S271" s="43" t="str">
        <f>_xll.RtGet("IDN",$X271,$S$9)</f>
        <v>#N/A The record could not be found</v>
      </c>
      <c r="T271" s="43" t="str">
        <f>_xll.RtGet("IDN",$X271,$T$9)</f>
        <v>#N/A The record could not be found</v>
      </c>
      <c r="U271" s="25" t="e">
        <f t="shared" si="40"/>
        <v>#DIV/0!</v>
      </c>
      <c r="V271" s="12"/>
      <c r="W271" s="25" t="e">
        <f t="shared" si="34"/>
        <v>#DIV/0!</v>
      </c>
      <c r="X271" s="14" t="str">
        <f t="shared" si="35"/>
        <v>=</v>
      </c>
      <c r="Y271" s="14"/>
      <c r="Z271" s="14"/>
      <c r="AA271" s="14"/>
      <c r="AB271" s="14"/>
      <c r="AC271" s="14"/>
      <c r="AD271" s="34" t="e">
        <f>IF(ISNUMBER($D271),_xll.xlBondYield($F271,$H271,$G271,$J271,$K271,$L271,$M271,$D271,$W271,IF(NOT($H271),TRUE,FALSE)),"")</f>
        <v>#NUM!</v>
      </c>
      <c r="AE271" s="12"/>
      <c r="AF271" s="12"/>
      <c r="AG271" s="12"/>
      <c r="AH271" s="14"/>
      <c r="AI271" s="14"/>
      <c r="AJ271" s="14"/>
      <c r="AK271" s="246" t="e">
        <f>IF(ISNUMBER($D271),_xll.xlBondAswSpread($F271&amp;T(TYPE($AV$1)),$H271,$G271,$J271,$K271,$L271,$M271,$D271,$W271,IF(NOT($H271),TRUE,FALSE),curveName,curveName,,,2),"")</f>
        <v>#NUM!</v>
      </c>
      <c r="AL271" s="213" t="e">
        <f>IF($W271&gt;0,_xll.xlBondZSpread(F271&amp;T(TYPE($AV$1)),H271,G271,J271,K271,L271,M271,D271,U271,"annual",5,IF(NOT($H271),TRUE,FALSE),curveName)*100,"")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4" t="str">
        <f>IF($AN$9+(($AL$9-$AM$9))*('DB Basis'!F431/10-'DB Basis'!E431),," ")</f>
        <v xml:space="preserve"> </v>
      </c>
      <c r="AO271" s="639" t="e">
        <f>IF(U271&gt;0,_xll.xlShmImplSwap2(curveName&amp;T(TYPE($AV$1)),curveName,D271,G271,,1,8,2,4),"")</f>
        <v>#DIV/0!</v>
      </c>
      <c r="AP271" s="640" t="str">
        <f t="shared" si="36"/>
        <v>-</v>
      </c>
      <c r="AQ271" s="386" t="str">
        <f t="shared" si="37"/>
        <v>-</v>
      </c>
      <c r="AR271" s="386" t="str">
        <f t="shared" si="38"/>
        <v>-</v>
      </c>
      <c r="AS271" s="388"/>
      <c r="AT271" s="242" t="str">
        <f t="shared" si="39"/>
        <v>-</v>
      </c>
      <c r="AU271" s="686" t="str">
        <f t="shared" si="27"/>
        <v>#ERROR: Invalid ISIN  #ERROR: Invalid ISIN  #ERROR: Invalid ISIN</v>
      </c>
      <c r="AV271" s="702"/>
      <c r="AW271" s="684"/>
      <c r="AX271" s="684"/>
      <c r="AY271" s="684"/>
      <c r="AZ271" s="684"/>
      <c r="BA271" s="684"/>
      <c r="BC271" s="697"/>
      <c r="BE271" s="706">
        <f>_xll.xlDateShiftMonth(BE270,1)</f>
        <v>51102</v>
      </c>
      <c r="BF271" s="707">
        <v>2.7474802277229947E-2</v>
      </c>
      <c r="BU271" s="133" t="s">
        <v>599</v>
      </c>
      <c r="BV271" s="133" t="s">
        <v>599</v>
      </c>
      <c r="BW271" s="133" t="s">
        <v>599</v>
      </c>
      <c r="BX271" s="133" t="s">
        <v>599</v>
      </c>
      <c r="BY271" s="133" t="s">
        <v>599</v>
      </c>
      <c r="BZ271" s="133" t="s">
        <v>599</v>
      </c>
      <c r="CA271" s="133" t="s">
        <v>599</v>
      </c>
      <c r="CB271" s="133" t="s">
        <v>599</v>
      </c>
      <c r="CC271" s="133" t="s">
        <v>599</v>
      </c>
      <c r="CD271" s="133" t="s">
        <v>599</v>
      </c>
      <c r="CE271" s="133" t="s">
        <v>599</v>
      </c>
      <c r="CF271" s="133" t="s">
        <v>599</v>
      </c>
    </row>
    <row r="272" spans="1:84">
      <c r="A272" s="10"/>
      <c r="B272" s="11"/>
      <c r="C272" s="12"/>
      <c r="D272" s="720">
        <f>MAX(_xll.xlDateSettle("TARGET",$D$4,2),L272)</f>
        <v>43179</v>
      </c>
      <c r="E272" s="718"/>
      <c r="F272" s="13" t="s">
        <v>1769</v>
      </c>
      <c r="G272" s="35" t="s">
        <v>1769</v>
      </c>
      <c r="H272" s="37" t="s">
        <v>1769</v>
      </c>
      <c r="I272" s="11" t="s">
        <v>1769</v>
      </c>
      <c r="J272" s="11" t="s">
        <v>1769</v>
      </c>
      <c r="K272" s="11" t="s">
        <v>1769</v>
      </c>
      <c r="L272" s="11" t="s">
        <v>1769</v>
      </c>
      <c r="M272" s="12" t="s">
        <v>1769</v>
      </c>
      <c r="N272" s="12" t="s">
        <v>1769</v>
      </c>
      <c r="O272" s="12" t="s">
        <v>1769</v>
      </c>
      <c r="P272" s="12" t="s">
        <v>1769</v>
      </c>
      <c r="Q272" s="15" t="s">
        <v>1769</v>
      </c>
      <c r="R272" s="12"/>
      <c r="S272" s="43" t="str">
        <f>_xll.RtGet("IDN",$X272,$S$9)</f>
        <v>#N/A The record could not be found</v>
      </c>
      <c r="T272" s="43" t="str">
        <f>_xll.RtGet("IDN",$X272,$T$9)</f>
        <v>#N/A The record could not be found</v>
      </c>
      <c r="U272" s="25" t="e">
        <f t="shared" si="40"/>
        <v>#DIV/0!</v>
      </c>
      <c r="V272" s="12"/>
      <c r="W272" s="25" t="e">
        <f t="shared" ref="W272:W310" si="41">IF(V272="",U272,V272)</f>
        <v>#DIV/0!</v>
      </c>
      <c r="X272" s="14" t="str">
        <f t="shared" si="35"/>
        <v>=</v>
      </c>
      <c r="Y272" s="14"/>
      <c r="Z272" s="14"/>
      <c r="AA272" s="14"/>
      <c r="AB272" s="14"/>
      <c r="AC272" s="14"/>
      <c r="AD272" s="34" t="e">
        <f>IF(ISNUMBER($D272),_xll.xlBondYield($F272,$H272,$G272,$J272,$K272,$L272,$M272,$D272,$W272,IF(NOT($H272),TRUE,FALSE)),"")</f>
        <v>#NUM!</v>
      </c>
      <c r="AE272" s="12"/>
      <c r="AF272" s="12"/>
      <c r="AG272" s="12"/>
      <c r="AH272" s="14"/>
      <c r="AI272" s="14"/>
      <c r="AJ272" s="14"/>
      <c r="AK272" s="246" t="e">
        <f>IF(ISNUMBER($D272),_xll.xlBondAswSpread($F272&amp;T(TYPE($AV$1)),$H272,$G272,$J272,$K272,$L272,$M272,$D272,$W272,IF(NOT($H272),TRUE,FALSE),curveName,curveName,,,2),"")</f>
        <v>#NUM!</v>
      </c>
      <c r="AL272" s="213" t="e">
        <f>IF($W272&gt;0,_xll.xlBondZSpread(F272&amp;T(TYPE($AV$1)),H272,G272,J272,K272,L272,M272,D272,U272,"annual",5,IF(NOT($H272),TRUE,FALSE),curveName)*100,"")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4" t="str">
        <f>IF($AN$9+(($AL$9-$AM$9))*('DB Basis'!F432/10-'DB Basis'!E432),," ")</f>
        <v xml:space="preserve"> </v>
      </c>
      <c r="AO272" s="639" t="e">
        <f>IF(U272&gt;0,_xll.xlShmImplSwap2(curveName&amp;T(TYPE($AV$1)),curveName,D272,G272,,1,8,2,4),"")</f>
        <v>#DIV/0!</v>
      </c>
      <c r="AP272" s="640" t="str">
        <f t="shared" si="36"/>
        <v>-</v>
      </c>
      <c r="AQ272" s="386" t="str">
        <f t="shared" si="37"/>
        <v>-</v>
      </c>
      <c r="AR272" s="386" t="str">
        <f t="shared" si="38"/>
        <v>-</v>
      </c>
      <c r="AS272" s="388"/>
      <c r="AT272" s="242" t="str">
        <f t="shared" si="39"/>
        <v>-</v>
      </c>
      <c r="AU272" s="686" t="str">
        <f t="shared" ref="AU272:AU310" si="42">F272&amp;"  "&amp;TEXT(G272,"dd-mmm-yy")&amp;"  "&amp;H272</f>
        <v>#ERROR: Invalid ISIN  #ERROR: Invalid ISIN  #ERROR: Invalid ISIN</v>
      </c>
      <c r="AV272" s="702"/>
      <c r="AW272" s="684"/>
      <c r="AX272" s="684"/>
      <c r="AY272" s="684"/>
      <c r="AZ272" s="684"/>
      <c r="BA272" s="684"/>
      <c r="BC272" s="697"/>
      <c r="BE272" s="706">
        <f>_xll.xlDateShiftMonth(BE271,1)</f>
        <v>51132</v>
      </c>
      <c r="BF272" s="707">
        <v>2.7520106830226619E-2</v>
      </c>
      <c r="BU272" s="133" t="s">
        <v>599</v>
      </c>
      <c r="BV272" s="133" t="s">
        <v>599</v>
      </c>
      <c r="BW272" s="133" t="s">
        <v>599</v>
      </c>
      <c r="BX272" s="133" t="s">
        <v>599</v>
      </c>
      <c r="BY272" s="133" t="s">
        <v>599</v>
      </c>
      <c r="BZ272" s="133" t="s">
        <v>599</v>
      </c>
      <c r="CA272" s="133" t="s">
        <v>599</v>
      </c>
      <c r="CB272" s="133" t="s">
        <v>599</v>
      </c>
      <c r="CC272" s="133" t="s">
        <v>599</v>
      </c>
      <c r="CD272" s="133" t="s">
        <v>599</v>
      </c>
      <c r="CE272" s="133" t="s">
        <v>599</v>
      </c>
      <c r="CF272" s="133" t="s">
        <v>599</v>
      </c>
    </row>
    <row r="273" spans="1:84">
      <c r="A273" s="10"/>
      <c r="B273" s="11"/>
      <c r="C273" s="12"/>
      <c r="D273" s="720">
        <f>MAX(_xll.xlDateSettle("TARGET",$D$4,2),L273)</f>
        <v>43179</v>
      </c>
      <c r="E273" s="718"/>
      <c r="F273" s="13" t="s">
        <v>1769</v>
      </c>
      <c r="G273" s="35" t="s">
        <v>1769</v>
      </c>
      <c r="H273" s="37" t="s">
        <v>1769</v>
      </c>
      <c r="I273" s="11" t="s">
        <v>1769</v>
      </c>
      <c r="J273" s="11" t="s">
        <v>1769</v>
      </c>
      <c r="K273" s="11" t="s">
        <v>1769</v>
      </c>
      <c r="L273" s="11" t="s">
        <v>1769</v>
      </c>
      <c r="M273" s="12" t="s">
        <v>1769</v>
      </c>
      <c r="N273" s="12" t="s">
        <v>1769</v>
      </c>
      <c r="O273" s="12" t="s">
        <v>1769</v>
      </c>
      <c r="P273" s="12" t="s">
        <v>1769</v>
      </c>
      <c r="Q273" s="15" t="s">
        <v>1769</v>
      </c>
      <c r="R273" s="12"/>
      <c r="S273" s="43" t="str">
        <f>_xll.RtGet("IDN",$X273,$S$9)</f>
        <v>#N/A The record could not be found</v>
      </c>
      <c r="T273" s="43" t="str">
        <f>_xll.RtGet("IDN",$X273,$T$9)</f>
        <v>#N/A The record could not be found</v>
      </c>
      <c r="U273" s="25" t="e">
        <f t="shared" si="40"/>
        <v>#DIV/0!</v>
      </c>
      <c r="V273" s="12"/>
      <c r="W273" s="25" t="e">
        <f t="shared" si="41"/>
        <v>#DIV/0!</v>
      </c>
      <c r="X273" s="14" t="str">
        <f t="shared" si="35"/>
        <v>=</v>
      </c>
      <c r="Y273" s="14"/>
      <c r="Z273" s="14"/>
      <c r="AA273" s="14"/>
      <c r="AB273" s="14"/>
      <c r="AC273" s="14"/>
      <c r="AD273" s="34" t="e">
        <f>IF(ISNUMBER($D273),_xll.xlBondYield($F273,$H273,$G273,$J273,$K273,$L273,$M273,$D273,$W273,IF(NOT($H273),TRUE,FALSE)),"")</f>
        <v>#NUM!</v>
      </c>
      <c r="AE273" s="12"/>
      <c r="AF273" s="12"/>
      <c r="AG273" s="12"/>
      <c r="AH273" s="14"/>
      <c r="AI273" s="14"/>
      <c r="AJ273" s="14"/>
      <c r="AK273" s="246" t="e">
        <f>IF(ISNUMBER($D273),_xll.xlBondAswSpread($F273&amp;T(TYPE($AV$1)),$H273,$G273,$J273,$K273,$L273,$M273,$D273,$W273,IF(NOT($H273),TRUE,FALSE),curveName,curveName,,,2),"")</f>
        <v>#NUM!</v>
      </c>
      <c r="AL273" s="213" t="e">
        <f>IF($W273&gt;0,_xll.xlBondZSpread(F273&amp;T(TYPE($AV$1)),H273,G273,J273,K273,L273,M273,D273,U273,"annual",5,IF(NOT($H273),TRUE,FALSE),curveName)*100,"")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4" t="str">
        <f>IF($AN$9+(($AL$9-$AM$9))*('DB Basis'!F433/10-'DB Basis'!E433),," ")</f>
        <v xml:space="preserve"> </v>
      </c>
      <c r="AO273" s="639" t="e">
        <f>IF(U273&gt;0,_xll.xlShmImplSwap2(curveName&amp;T(TYPE($AV$1)),curveName,D273,G273,,1,8,2,4),"")</f>
        <v>#DIV/0!</v>
      </c>
      <c r="AP273" s="640" t="str">
        <f t="shared" si="36"/>
        <v>-</v>
      </c>
      <c r="AQ273" s="386" t="str">
        <f t="shared" si="37"/>
        <v>-</v>
      </c>
      <c r="AR273" s="386" t="str">
        <f t="shared" si="38"/>
        <v>-</v>
      </c>
      <c r="AS273" s="388"/>
      <c r="AT273" s="242" t="str">
        <f t="shared" si="39"/>
        <v>-</v>
      </c>
      <c r="AU273" s="686" t="str">
        <f t="shared" si="42"/>
        <v>#ERROR: Invalid ISIN  #ERROR: Invalid ISIN  #ERROR: Invalid ISIN</v>
      </c>
      <c r="AV273" s="702"/>
      <c r="AW273" s="684"/>
      <c r="AX273" s="684"/>
      <c r="AY273" s="684"/>
      <c r="AZ273" s="684"/>
      <c r="BA273" s="684"/>
      <c r="BC273" s="697"/>
      <c r="BE273" s="706">
        <f>_xll.xlDateShiftMonth(BE272,1)</f>
        <v>51163</v>
      </c>
      <c r="BF273" s="707">
        <v>2.7567629415490302E-2</v>
      </c>
      <c r="BU273" s="133" t="s">
        <v>599</v>
      </c>
      <c r="BV273" s="133" t="s">
        <v>599</v>
      </c>
      <c r="BW273" s="133" t="s">
        <v>599</v>
      </c>
      <c r="BX273" s="133" t="s">
        <v>599</v>
      </c>
      <c r="BY273" s="133" t="s">
        <v>599</v>
      </c>
      <c r="BZ273" s="133" t="s">
        <v>599</v>
      </c>
      <c r="CA273" s="133" t="s">
        <v>599</v>
      </c>
      <c r="CB273" s="133" t="s">
        <v>599</v>
      </c>
      <c r="CC273" s="133" t="s">
        <v>599</v>
      </c>
      <c r="CD273" s="133" t="s">
        <v>599</v>
      </c>
      <c r="CE273" s="133" t="s">
        <v>599</v>
      </c>
      <c r="CF273" s="133" t="s">
        <v>599</v>
      </c>
    </row>
    <row r="274" spans="1:84">
      <c r="A274" s="10"/>
      <c r="B274" s="11"/>
      <c r="C274" s="12"/>
      <c r="D274" s="720">
        <f>MAX(_xll.xlDateSettle("TARGET",$D$4,2),L274)</f>
        <v>43179</v>
      </c>
      <c r="E274" s="718"/>
      <c r="F274" s="13" t="s">
        <v>1769</v>
      </c>
      <c r="G274" s="35" t="s">
        <v>1769</v>
      </c>
      <c r="H274" s="37" t="s">
        <v>1769</v>
      </c>
      <c r="I274" s="11" t="s">
        <v>1769</v>
      </c>
      <c r="J274" s="11" t="s">
        <v>1769</v>
      </c>
      <c r="K274" s="11" t="s">
        <v>1769</v>
      </c>
      <c r="L274" s="11" t="s">
        <v>1769</v>
      </c>
      <c r="M274" s="12" t="s">
        <v>1769</v>
      </c>
      <c r="N274" s="12" t="s">
        <v>1769</v>
      </c>
      <c r="O274" s="12" t="s">
        <v>1769</v>
      </c>
      <c r="P274" s="12" t="s">
        <v>1769</v>
      </c>
      <c r="Q274" s="15" t="s">
        <v>1769</v>
      </c>
      <c r="R274" s="12"/>
      <c r="S274" s="43" t="str">
        <f>_xll.RtGet("IDN",$X274,$S$9)</f>
        <v>#N/A The record could not be found</v>
      </c>
      <c r="T274" s="43" t="str">
        <f>_xll.RtGet("IDN",$X274,$T$9)</f>
        <v>#N/A The record could not be found</v>
      </c>
      <c r="U274" s="25" t="e">
        <f t="shared" si="40"/>
        <v>#DIV/0!</v>
      </c>
      <c r="V274" s="12"/>
      <c r="W274" s="25" t="e">
        <f t="shared" si="41"/>
        <v>#DIV/0!</v>
      </c>
      <c r="X274" s="14" t="str">
        <f t="shared" si="35"/>
        <v>=</v>
      </c>
      <c r="Y274" s="14"/>
      <c r="Z274" s="14"/>
      <c r="AA274" s="14"/>
      <c r="AB274" s="14"/>
      <c r="AC274" s="14"/>
      <c r="AD274" s="34" t="e">
        <f>IF(ISNUMBER($D274),_xll.xlBondYield($F274,$H274,$G274,$J274,$K274,$L274,$M274,$D274,$W274,IF(NOT($H274),TRUE,FALSE)),"")</f>
        <v>#NUM!</v>
      </c>
      <c r="AE274" s="12"/>
      <c r="AF274" s="12"/>
      <c r="AG274" s="12"/>
      <c r="AH274" s="14"/>
      <c r="AI274" s="14"/>
      <c r="AJ274" s="14"/>
      <c r="AK274" s="246" t="e">
        <f>IF(ISNUMBER($D274),_xll.xlBondAswSpread($F274&amp;T(TYPE($AV$1)),$H274,$G274,$J274,$K274,$L274,$M274,$D274,$W274,IF(NOT($H274),TRUE,FALSE),curveName,curveName,,,2),"")</f>
        <v>#NUM!</v>
      </c>
      <c r="AL274" s="213" t="e">
        <f>IF($W274&gt;0,_xll.xlBondZSpread(F274&amp;T(TYPE($AV$1)),H274,G274,J274,K274,L274,M274,D274,U274,"annual",5,IF(NOT($H274),TRUE,FALSE),curveName)*100,"")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4" t="str">
        <f>IF($AN$9+(($AL$9-$AM$9))*('DB Basis'!F434/10-'DB Basis'!E434),," ")</f>
        <v xml:space="preserve"> </v>
      </c>
      <c r="AO274" s="639" t="e">
        <f>IF(U274&gt;0,_xll.xlShmImplSwap2(curveName&amp;T(TYPE($AV$1)),curveName,D274,G274,,1,8,2,4),"")</f>
        <v>#DIV/0!</v>
      </c>
      <c r="AP274" s="640" t="str">
        <f t="shared" si="36"/>
        <v>-</v>
      </c>
      <c r="AQ274" s="386" t="str">
        <f t="shared" si="37"/>
        <v>-</v>
      </c>
      <c r="AR274" s="386" t="str">
        <f t="shared" si="38"/>
        <v>-</v>
      </c>
      <c r="AS274" s="388"/>
      <c r="AT274" s="242" t="str">
        <f t="shared" si="39"/>
        <v>-</v>
      </c>
      <c r="AU274" s="686" t="str">
        <f t="shared" si="42"/>
        <v>#ERROR: Invalid ISIN  #ERROR: Invalid ISIN  #ERROR: Invalid ISIN</v>
      </c>
      <c r="AV274" s="702"/>
      <c r="AW274" s="684"/>
      <c r="AX274" s="684"/>
      <c r="AY274" s="684"/>
      <c r="AZ274" s="684"/>
      <c r="BA274" s="684"/>
      <c r="BC274" s="697"/>
      <c r="BE274" s="706">
        <f>_xll.xlDateShiftMonth(BE273,1)</f>
        <v>51194</v>
      </c>
      <c r="BF274" s="707">
        <v>2.7615892294601346E-2</v>
      </c>
      <c r="BU274" s="133" t="s">
        <v>599</v>
      </c>
      <c r="BV274" s="133" t="s">
        <v>599</v>
      </c>
      <c r="BW274" s="133" t="s">
        <v>599</v>
      </c>
      <c r="BX274" s="133" t="s">
        <v>599</v>
      </c>
      <c r="BY274" s="133" t="s">
        <v>599</v>
      </c>
      <c r="BZ274" s="133" t="s">
        <v>599</v>
      </c>
      <c r="CA274" s="133" t="s">
        <v>599</v>
      </c>
      <c r="CB274" s="133" t="s">
        <v>599</v>
      </c>
      <c r="CC274" s="133" t="s">
        <v>599</v>
      </c>
      <c r="CD274" s="133" t="s">
        <v>599</v>
      </c>
      <c r="CE274" s="133" t="s">
        <v>599</v>
      </c>
      <c r="CF274" s="133" t="s">
        <v>599</v>
      </c>
    </row>
    <row r="275" spans="1:84">
      <c r="A275" s="10"/>
      <c r="B275" s="11"/>
      <c r="C275" s="12"/>
      <c r="D275" s="720">
        <f>MAX(_xll.xlDateSettle("TARGET",$D$4,2),L275)</f>
        <v>43179</v>
      </c>
      <c r="E275" s="718"/>
      <c r="F275" s="13" t="s">
        <v>1769</v>
      </c>
      <c r="G275" s="35" t="s">
        <v>1769</v>
      </c>
      <c r="H275" s="37" t="s">
        <v>1769</v>
      </c>
      <c r="I275" s="11" t="s">
        <v>1769</v>
      </c>
      <c r="J275" s="11" t="s">
        <v>1769</v>
      </c>
      <c r="K275" s="11" t="s">
        <v>1769</v>
      </c>
      <c r="L275" s="11" t="s">
        <v>1769</v>
      </c>
      <c r="M275" s="12" t="s">
        <v>1769</v>
      </c>
      <c r="N275" s="12" t="s">
        <v>1769</v>
      </c>
      <c r="O275" s="12" t="s">
        <v>1769</v>
      </c>
      <c r="P275" s="12" t="s">
        <v>1769</v>
      </c>
      <c r="Q275" s="15" t="s">
        <v>1769</v>
      </c>
      <c r="R275" s="12"/>
      <c r="S275" s="43" t="str">
        <f>_xll.RtGet("IDN",$X275,$S$9)</f>
        <v>#N/A The record could not be found</v>
      </c>
      <c r="T275" s="43" t="str">
        <f>_xll.RtGet("IDN",$X275,$T$9)</f>
        <v>#N/A The record could not be found</v>
      </c>
      <c r="U275" s="25" t="e">
        <f t="shared" si="40"/>
        <v>#DIV/0!</v>
      </c>
      <c r="V275" s="12"/>
      <c r="W275" s="25" t="e">
        <f t="shared" si="41"/>
        <v>#DIV/0!</v>
      </c>
      <c r="X275" s="14" t="str">
        <f t="shared" si="35"/>
        <v>=</v>
      </c>
      <c r="Y275" s="14"/>
      <c r="Z275" s="14"/>
      <c r="AA275" s="14"/>
      <c r="AB275" s="14"/>
      <c r="AC275" s="14"/>
      <c r="AD275" s="34" t="e">
        <f>IF(ISNUMBER($D275),_xll.xlBondYield($F275,$H275,$G275,$J275,$K275,$L275,$M275,$D275,$W275,IF(NOT($H275),TRUE,FALSE)),"")</f>
        <v>#NUM!</v>
      </c>
      <c r="AE275" s="12"/>
      <c r="AF275" s="12"/>
      <c r="AG275" s="12"/>
      <c r="AH275" s="14"/>
      <c r="AI275" s="14"/>
      <c r="AJ275" s="14"/>
      <c r="AK275" s="246" t="e">
        <f>IF(ISNUMBER($D275),_xll.xlBondAswSpread($F275&amp;T(TYPE($AV$1)),$H275,$G275,$J275,$K275,$L275,$M275,$D275,$W275,IF(NOT($H275),TRUE,FALSE),curveName,curveName,,,2),"")</f>
        <v>#NUM!</v>
      </c>
      <c r="AL275" s="213" t="e">
        <f>IF($W275&gt;0,_xll.xlBondZSpread(F275&amp;T(TYPE($AV$1)),H275,G275,J275,K275,L275,M275,D275,U275,"annual",5,IF(NOT($H275),TRUE,FALSE),curveName)*100,"")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4" t="str">
        <f>IF($AN$9+(($AL$9-$AM$9))*('DB Basis'!F435/10-'DB Basis'!E435),," ")</f>
        <v xml:space="preserve"> </v>
      </c>
      <c r="AO275" s="639" t="e">
        <f>IF(U275&gt;0,_xll.xlShmImplSwap2(curveName&amp;T(TYPE($AV$1)),curveName,D275,G275,,1,8,2,4),"")</f>
        <v>#DIV/0!</v>
      </c>
      <c r="AP275" s="640" t="str">
        <f t="shared" si="36"/>
        <v>-</v>
      </c>
      <c r="AQ275" s="386" t="str">
        <f t="shared" si="37"/>
        <v>-</v>
      </c>
      <c r="AR275" s="386" t="str">
        <f t="shared" si="38"/>
        <v>-</v>
      </c>
      <c r="AS275" s="388"/>
      <c r="AT275" s="242" t="str">
        <f t="shared" si="39"/>
        <v>-</v>
      </c>
      <c r="AU275" s="686" t="str">
        <f t="shared" si="42"/>
        <v>#ERROR: Invalid ISIN  #ERROR: Invalid ISIN  #ERROR: Invalid ISIN</v>
      </c>
      <c r="AV275" s="702"/>
      <c r="AW275" s="684"/>
      <c r="AX275" s="684"/>
      <c r="AY275" s="684"/>
      <c r="AZ275" s="684"/>
      <c r="BA275" s="684"/>
      <c r="BC275" s="697"/>
      <c r="BE275" s="706">
        <f>_xll.xlDateShiftMonth(BE274,1)</f>
        <v>51223</v>
      </c>
      <c r="BF275" s="707">
        <v>2.7661730266298409E-2</v>
      </c>
      <c r="BU275" s="133" t="s">
        <v>599</v>
      </c>
      <c r="BV275" s="133" t="s">
        <v>599</v>
      </c>
      <c r="BW275" s="133" t="s">
        <v>599</v>
      </c>
      <c r="BX275" s="133" t="s">
        <v>599</v>
      </c>
      <c r="BY275" s="133" t="s">
        <v>599</v>
      </c>
      <c r="BZ275" s="133" t="s">
        <v>599</v>
      </c>
      <c r="CA275" s="133" t="s">
        <v>599</v>
      </c>
      <c r="CB275" s="133" t="s">
        <v>599</v>
      </c>
      <c r="CC275" s="133" t="s">
        <v>599</v>
      </c>
      <c r="CD275" s="133" t="s">
        <v>599</v>
      </c>
      <c r="CE275" s="133" t="s">
        <v>599</v>
      </c>
      <c r="CF275" s="133" t="s">
        <v>599</v>
      </c>
    </row>
    <row r="276" spans="1:84">
      <c r="A276" s="10"/>
      <c r="B276" s="11"/>
      <c r="C276" s="12"/>
      <c r="D276" s="720">
        <f>MAX(_xll.xlDateSettle("TARGET",$D$4,2),L276)</f>
        <v>43179</v>
      </c>
      <c r="E276" s="718"/>
      <c r="F276" s="13" t="s">
        <v>1769</v>
      </c>
      <c r="G276" s="35" t="s">
        <v>1769</v>
      </c>
      <c r="H276" s="37" t="s">
        <v>1769</v>
      </c>
      <c r="I276" s="11" t="s">
        <v>1769</v>
      </c>
      <c r="J276" s="11" t="s">
        <v>1769</v>
      </c>
      <c r="K276" s="11" t="s">
        <v>1769</v>
      </c>
      <c r="L276" s="11" t="s">
        <v>1769</v>
      </c>
      <c r="M276" s="12" t="s">
        <v>1769</v>
      </c>
      <c r="N276" s="12" t="s">
        <v>1769</v>
      </c>
      <c r="O276" s="12" t="s">
        <v>1769</v>
      </c>
      <c r="P276" s="12" t="s">
        <v>1769</v>
      </c>
      <c r="Q276" s="15" t="s">
        <v>1769</v>
      </c>
      <c r="R276" s="12"/>
      <c r="S276" s="43" t="str">
        <f>_xll.RtGet("IDN",$X276,$S$9)</f>
        <v>#N/A The record could not be found</v>
      </c>
      <c r="T276" s="43" t="str">
        <f>_xll.RtGet("IDN",$X276,$T$9)</f>
        <v>#N/A The record could not be found</v>
      </c>
      <c r="U276" s="25" t="e">
        <f t="shared" si="40"/>
        <v>#DIV/0!</v>
      </c>
      <c r="V276" s="12"/>
      <c r="W276" s="25" t="e">
        <f t="shared" si="41"/>
        <v>#DIV/0!</v>
      </c>
      <c r="X276" s="14" t="str">
        <f t="shared" si="35"/>
        <v>=</v>
      </c>
      <c r="Y276" s="14"/>
      <c r="Z276" s="14"/>
      <c r="AA276" s="14"/>
      <c r="AB276" s="14"/>
      <c r="AC276" s="14"/>
      <c r="AD276" s="34" t="e">
        <f>IF(ISNUMBER($D276),_xll.xlBondYield($F276,$H276,$G276,$J276,$K276,$L276,$M276,$D276,$W276,IF(NOT($H276),TRUE,FALSE)),"")</f>
        <v>#NUM!</v>
      </c>
      <c r="AE276" s="12"/>
      <c r="AF276" s="12"/>
      <c r="AG276" s="12"/>
      <c r="AH276" s="14"/>
      <c r="AI276" s="14"/>
      <c r="AJ276" s="14"/>
      <c r="AK276" s="246" t="e">
        <f>IF(ISNUMBER($D276),_xll.xlBondAswSpread($F276&amp;T(TYPE($AV$1)),$H276,$G276,$J276,$K276,$L276,$M276,$D276,$W276,IF(NOT($H276),TRUE,FALSE),curveName,curveName,,,2),"")</f>
        <v>#NUM!</v>
      </c>
      <c r="AL276" s="213" t="e">
        <f>IF($W276&gt;0,_xll.xlBondZSpread(F276&amp;T(TYPE($AV$1)),H276,G276,J276,K276,L276,M276,D276,U276,"annual",5,IF(NOT($H276),TRUE,FALSE),curveName)*100,"")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4" t="str">
        <f>IF($AN$9+(($AL$9-$AM$9))*('DB Basis'!F436/10-'DB Basis'!E436),," ")</f>
        <v xml:space="preserve"> </v>
      </c>
      <c r="AO276" s="639" t="e">
        <f>IF(U276&gt;0,_xll.xlShmImplSwap2(curveName&amp;T(TYPE($AV$1)),curveName,D276,G276,,1,8,2,4),"")</f>
        <v>#DIV/0!</v>
      </c>
      <c r="AP276" s="640" t="str">
        <f t="shared" si="36"/>
        <v>-</v>
      </c>
      <c r="AQ276" s="386" t="str">
        <f t="shared" si="37"/>
        <v>-</v>
      </c>
      <c r="AR276" s="386" t="str">
        <f t="shared" si="38"/>
        <v>-</v>
      </c>
      <c r="AS276" s="388"/>
      <c r="AT276" s="242" t="str">
        <f t="shared" si="39"/>
        <v>-</v>
      </c>
      <c r="AU276" s="686" t="str">
        <f t="shared" si="42"/>
        <v>#ERROR: Invalid ISIN  #ERROR: Invalid ISIN  #ERROR: Invalid ISIN</v>
      </c>
      <c r="AV276" s="702"/>
      <c r="AW276" s="684"/>
      <c r="AX276" s="684"/>
      <c r="AY276" s="684"/>
      <c r="AZ276" s="684"/>
      <c r="BA276" s="684"/>
      <c r="BC276" s="697"/>
      <c r="BE276" s="706">
        <f>_xll.xlDateShiftMonth(BE275,1)</f>
        <v>51254</v>
      </c>
      <c r="BF276" s="707">
        <v>2.771148572804898E-2</v>
      </c>
      <c r="BU276" s="133" t="s">
        <v>599</v>
      </c>
      <c r="BV276" s="133" t="s">
        <v>599</v>
      </c>
      <c r="BW276" s="133" t="s">
        <v>599</v>
      </c>
      <c r="BX276" s="133" t="s">
        <v>599</v>
      </c>
      <c r="BY276" s="133" t="s">
        <v>599</v>
      </c>
      <c r="BZ276" s="133" t="s">
        <v>599</v>
      </c>
      <c r="CA276" s="133" t="s">
        <v>599</v>
      </c>
      <c r="CB276" s="133" t="s">
        <v>599</v>
      </c>
      <c r="CC276" s="133" t="s">
        <v>599</v>
      </c>
      <c r="CD276" s="133" t="s">
        <v>599</v>
      </c>
      <c r="CE276" s="133" t="s">
        <v>599</v>
      </c>
      <c r="CF276" s="133" t="s">
        <v>599</v>
      </c>
    </row>
    <row r="277" spans="1:84">
      <c r="A277" s="10"/>
      <c r="B277" s="11"/>
      <c r="C277" s="12"/>
      <c r="D277" s="720">
        <f>MAX(_xll.xlDateSettle("TARGET",$D$4,2),L277)</f>
        <v>43179</v>
      </c>
      <c r="E277" s="718"/>
      <c r="F277" s="13" t="s">
        <v>1769</v>
      </c>
      <c r="G277" s="35" t="s">
        <v>1769</v>
      </c>
      <c r="H277" s="37" t="s">
        <v>1769</v>
      </c>
      <c r="I277" s="11" t="s">
        <v>1769</v>
      </c>
      <c r="J277" s="11" t="s">
        <v>1769</v>
      </c>
      <c r="K277" s="11" t="s">
        <v>1769</v>
      </c>
      <c r="L277" s="11" t="s">
        <v>1769</v>
      </c>
      <c r="M277" s="12" t="s">
        <v>1769</v>
      </c>
      <c r="N277" s="12" t="s">
        <v>1769</v>
      </c>
      <c r="O277" s="12" t="s">
        <v>1769</v>
      </c>
      <c r="P277" s="12" t="s">
        <v>1769</v>
      </c>
      <c r="Q277" s="15" t="s">
        <v>1769</v>
      </c>
      <c r="R277" s="12"/>
      <c r="S277" s="43" t="str">
        <f>_xll.RtGet("IDN",$X277,$S$9)</f>
        <v>#N/A The record could not be found</v>
      </c>
      <c r="T277" s="43" t="str">
        <f>_xll.RtGet("IDN",$X277,$T$9)</f>
        <v>#N/A The record could not be found</v>
      </c>
      <c r="U277" s="25" t="e">
        <f t="shared" si="40"/>
        <v>#DIV/0!</v>
      </c>
      <c r="V277" s="12"/>
      <c r="W277" s="25" t="e">
        <f t="shared" si="41"/>
        <v>#DIV/0!</v>
      </c>
      <c r="X277" s="14" t="str">
        <f t="shared" si="35"/>
        <v>=</v>
      </c>
      <c r="Y277" s="14"/>
      <c r="Z277" s="14"/>
      <c r="AA277" s="14"/>
      <c r="AB277" s="14"/>
      <c r="AC277" s="14"/>
      <c r="AD277" s="34" t="e">
        <f>IF(ISNUMBER($D277),_xll.xlBondYield($F277,$H277,$G277,$J277,$K277,$L277,$M277,$D277,$W277,IF(NOT($H277),TRUE,FALSE)),"")</f>
        <v>#NUM!</v>
      </c>
      <c r="AE277" s="12"/>
      <c r="AF277" s="12"/>
      <c r="AG277" s="12"/>
      <c r="AH277" s="14"/>
      <c r="AI277" s="14"/>
      <c r="AJ277" s="14"/>
      <c r="AK277" s="246" t="e">
        <f>IF(ISNUMBER($D277),_xll.xlBondAswSpread($F277&amp;T(TYPE($AV$1)),$H277,$G277,$J277,$K277,$L277,$M277,$D277,$W277,IF(NOT($H277),TRUE,FALSE),curveName,curveName,,,2),"")</f>
        <v>#NUM!</v>
      </c>
      <c r="AL277" s="213" t="e">
        <f>IF($W277&gt;0,_xll.xlBondZSpread(F277&amp;T(TYPE($AV$1)),H277,G277,J277,K277,L277,M277,D277,U277,"annual",5,IF(NOT($H277),TRUE,FALSE),curveName)*100,"")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4" t="str">
        <f>IF($AN$9+(($AL$9-$AM$9))*('DB Basis'!F437/10-'DB Basis'!E437),," ")</f>
        <v xml:space="preserve"> </v>
      </c>
      <c r="AO277" s="639" t="e">
        <f>IF(U277&gt;0,_xll.xlShmImplSwap2(curveName&amp;T(TYPE($AV$1)),curveName,D277,G277,,1,8,2,4),"")</f>
        <v>#DIV/0!</v>
      </c>
      <c r="AP277" s="640" t="str">
        <f t="shared" si="36"/>
        <v>-</v>
      </c>
      <c r="AQ277" s="386" t="str">
        <f t="shared" si="37"/>
        <v>-</v>
      </c>
      <c r="AR277" s="386" t="str">
        <f t="shared" si="38"/>
        <v>-</v>
      </c>
      <c r="AS277" s="388"/>
      <c r="AT277" s="242" t="str">
        <f t="shared" si="39"/>
        <v>-</v>
      </c>
      <c r="AU277" s="686" t="str">
        <f t="shared" si="42"/>
        <v>#ERROR: Invalid ISIN  #ERROR: Invalid ISIN  #ERROR: Invalid ISIN</v>
      </c>
      <c r="AV277" s="702"/>
      <c r="AW277" s="684"/>
      <c r="AX277" s="684"/>
      <c r="AY277" s="684"/>
      <c r="AZ277" s="684"/>
      <c r="BA277" s="684"/>
      <c r="BC277" s="697"/>
      <c r="BE277" s="706">
        <f>_xll.xlDateShiftMonth(BE276,1)</f>
        <v>51284</v>
      </c>
      <c r="BF277" s="707">
        <v>2.7760399609929105E-2</v>
      </c>
      <c r="BU277" s="133" t="s">
        <v>599</v>
      </c>
      <c r="BV277" s="133" t="s">
        <v>599</v>
      </c>
      <c r="BW277" s="133" t="s">
        <v>599</v>
      </c>
      <c r="BX277" s="133" t="s">
        <v>599</v>
      </c>
      <c r="BY277" s="133" t="s">
        <v>599</v>
      </c>
      <c r="BZ277" s="133" t="s">
        <v>599</v>
      </c>
      <c r="CA277" s="133" t="s">
        <v>599</v>
      </c>
      <c r="CB277" s="133" t="s">
        <v>599</v>
      </c>
      <c r="CC277" s="133" t="s">
        <v>599</v>
      </c>
      <c r="CD277" s="133" t="s">
        <v>599</v>
      </c>
      <c r="CE277" s="133" t="s">
        <v>599</v>
      </c>
      <c r="CF277" s="133" t="s">
        <v>599</v>
      </c>
    </row>
    <row r="278" spans="1:84">
      <c r="A278" s="10"/>
      <c r="B278" s="11"/>
      <c r="C278" s="12"/>
      <c r="D278" s="720">
        <f>MAX(_xll.xlDateSettle("TARGET",$D$4,2),L278)</f>
        <v>43179</v>
      </c>
      <c r="E278" s="718"/>
      <c r="F278" s="13" t="s">
        <v>1769</v>
      </c>
      <c r="G278" s="35" t="s">
        <v>1769</v>
      </c>
      <c r="H278" s="37" t="s">
        <v>1769</v>
      </c>
      <c r="I278" s="11" t="s">
        <v>1769</v>
      </c>
      <c r="J278" s="11" t="s">
        <v>1769</v>
      </c>
      <c r="K278" s="11" t="s">
        <v>1769</v>
      </c>
      <c r="L278" s="11" t="s">
        <v>1769</v>
      </c>
      <c r="M278" s="12" t="s">
        <v>1769</v>
      </c>
      <c r="N278" s="12" t="s">
        <v>1769</v>
      </c>
      <c r="O278" s="12" t="s">
        <v>1769</v>
      </c>
      <c r="P278" s="12" t="s">
        <v>1769</v>
      </c>
      <c r="Q278" s="15" t="s">
        <v>1769</v>
      </c>
      <c r="R278" s="12"/>
      <c r="S278" s="43" t="str">
        <f>_xll.RtGet("IDN",$X278,$S$9)</f>
        <v>#N/A The record could not be found</v>
      </c>
      <c r="T278" s="43" t="str">
        <f>_xll.RtGet("IDN",$X278,$T$9)</f>
        <v>#N/A The record could not be found</v>
      </c>
      <c r="U278" s="25" t="e">
        <f t="shared" si="40"/>
        <v>#DIV/0!</v>
      </c>
      <c r="V278" s="12"/>
      <c r="W278" s="25" t="e">
        <f t="shared" si="41"/>
        <v>#DIV/0!</v>
      </c>
      <c r="X278" s="14" t="str">
        <f t="shared" si="35"/>
        <v>=</v>
      </c>
      <c r="Y278" s="14"/>
      <c r="Z278" s="14"/>
      <c r="AA278" s="14"/>
      <c r="AB278" s="14"/>
      <c r="AC278" s="14"/>
      <c r="AD278" s="34" t="e">
        <f>IF(ISNUMBER($D278),_xll.xlBondYield($F278,$H278,$G278,$J278,$K278,$L278,$M278,$D278,$W278,IF(NOT($H278),TRUE,FALSE)),"")</f>
        <v>#NUM!</v>
      </c>
      <c r="AE278" s="12"/>
      <c r="AF278" s="12"/>
      <c r="AG278" s="12"/>
      <c r="AH278" s="14"/>
      <c r="AI278" s="14"/>
      <c r="AJ278" s="14"/>
      <c r="AK278" s="246" t="e">
        <f>IF(ISNUMBER($D278),_xll.xlBondAswSpread($F278&amp;T(TYPE($AV$1)),$H278,$G278,$J278,$K278,$L278,$M278,$D278,$W278,IF(NOT($H278),TRUE,FALSE),curveName,curveName,,,2),"")</f>
        <v>#NUM!</v>
      </c>
      <c r="AL278" s="213" t="e">
        <f>IF($W278&gt;0,_xll.xlBondZSpread(F278&amp;T(TYPE($AV$1)),H278,G278,J278,K278,L278,M278,D278,U278,"annual",5,IF(NOT($H278),TRUE,FALSE),curveName)*100,"")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4" t="str">
        <f>IF($AN$9+(($AL$9-$AM$9))*('DB Basis'!F438/10-'DB Basis'!E438),," ")</f>
        <v xml:space="preserve"> </v>
      </c>
      <c r="AO278" s="639" t="e">
        <f>IF(U278&gt;0,_xll.xlShmImplSwap2(curveName&amp;T(TYPE($AV$1)),curveName,D278,G278,,1,8,2,4),"")</f>
        <v>#DIV/0!</v>
      </c>
      <c r="AP278" s="640" t="str">
        <f t="shared" si="36"/>
        <v>-</v>
      </c>
      <c r="AQ278" s="386" t="str">
        <f t="shared" si="37"/>
        <v>-</v>
      </c>
      <c r="AR278" s="386" t="str">
        <f t="shared" si="38"/>
        <v>-</v>
      </c>
      <c r="AS278" s="388"/>
      <c r="AT278" s="242" t="str">
        <f t="shared" si="39"/>
        <v>-</v>
      </c>
      <c r="AU278" s="686" t="str">
        <f t="shared" si="42"/>
        <v>#ERROR: Invalid ISIN  #ERROR: Invalid ISIN  #ERROR: Invalid ISIN</v>
      </c>
      <c r="AV278" s="702"/>
      <c r="AW278" s="684"/>
      <c r="AX278" s="684"/>
      <c r="AY278" s="684"/>
      <c r="AZ278" s="684"/>
      <c r="BA278" s="684"/>
      <c r="BC278" s="697"/>
      <c r="BE278" s="706">
        <f>_xll.xlDateShiftMonth(BE277,1)</f>
        <v>51315</v>
      </c>
      <c r="BF278" s="707">
        <v>2.781175331052101E-2</v>
      </c>
      <c r="BU278" s="133" t="s">
        <v>599</v>
      </c>
      <c r="BV278" s="133" t="s">
        <v>599</v>
      </c>
      <c r="BW278" s="133" t="s">
        <v>599</v>
      </c>
      <c r="BX278" s="133" t="s">
        <v>599</v>
      </c>
      <c r="BY278" s="133" t="s">
        <v>599</v>
      </c>
      <c r="BZ278" s="133" t="s">
        <v>599</v>
      </c>
      <c r="CA278" s="133" t="s">
        <v>599</v>
      </c>
      <c r="CB278" s="133" t="s">
        <v>599</v>
      </c>
      <c r="CC278" s="133" t="s">
        <v>599</v>
      </c>
      <c r="CD278" s="133" t="s">
        <v>599</v>
      </c>
      <c r="CE278" s="133" t="s">
        <v>599</v>
      </c>
      <c r="CF278" s="133" t="s">
        <v>599</v>
      </c>
    </row>
    <row r="279" spans="1:84">
      <c r="A279" s="10"/>
      <c r="B279" s="11"/>
      <c r="C279" s="12"/>
      <c r="D279" s="720">
        <f>MAX(_xll.xlDateSettle("TARGET",$D$4,2),L279)</f>
        <v>43179</v>
      </c>
      <c r="E279" s="718"/>
      <c r="F279" s="13" t="s">
        <v>1769</v>
      </c>
      <c r="G279" s="35" t="s">
        <v>1769</v>
      </c>
      <c r="H279" s="37" t="s">
        <v>1769</v>
      </c>
      <c r="I279" s="11" t="s">
        <v>1769</v>
      </c>
      <c r="J279" s="11" t="s">
        <v>1769</v>
      </c>
      <c r="K279" s="11" t="s">
        <v>1769</v>
      </c>
      <c r="L279" s="11" t="s">
        <v>1769</v>
      </c>
      <c r="M279" s="12" t="s">
        <v>1769</v>
      </c>
      <c r="N279" s="12" t="s">
        <v>1769</v>
      </c>
      <c r="O279" s="12" t="s">
        <v>1769</v>
      </c>
      <c r="P279" s="12" t="s">
        <v>1769</v>
      </c>
      <c r="Q279" s="15" t="s">
        <v>1769</v>
      </c>
      <c r="R279" s="12"/>
      <c r="S279" s="43" t="str">
        <f>_xll.RtGet("IDN",$X279,$S$9)</f>
        <v>#N/A The record could not be found</v>
      </c>
      <c r="T279" s="43" t="str">
        <f>_xll.RtGet("IDN",$X279,$T$9)</f>
        <v>#N/A The record could not be found</v>
      </c>
      <c r="U279" s="25" t="e">
        <f t="shared" si="40"/>
        <v>#DIV/0!</v>
      </c>
      <c r="V279" s="12"/>
      <c r="W279" s="25" t="e">
        <f t="shared" si="41"/>
        <v>#DIV/0!</v>
      </c>
      <c r="X279" s="14" t="str">
        <f t="shared" si="35"/>
        <v>=</v>
      </c>
      <c r="Y279" s="14"/>
      <c r="Z279" s="14"/>
      <c r="AA279" s="14"/>
      <c r="AB279" s="14"/>
      <c r="AC279" s="14"/>
      <c r="AD279" s="34" t="e">
        <f>IF(ISNUMBER($D279),_xll.xlBondYield($F279,$H279,$G279,$J279,$K279,$L279,$M279,$D279,$W279,IF(NOT($H279),TRUE,FALSE)),"")</f>
        <v>#NUM!</v>
      </c>
      <c r="AE279" s="12"/>
      <c r="AF279" s="12"/>
      <c r="AG279" s="12"/>
      <c r="AH279" s="14"/>
      <c r="AI279" s="14"/>
      <c r="AJ279" s="14"/>
      <c r="AK279" s="246" t="e">
        <f>IF(ISNUMBER($D279),_xll.xlBondAswSpread($F279&amp;T(TYPE($AV$1)),$H279,$G279,$J279,$K279,$L279,$M279,$D279,$W279,IF(NOT($H279),TRUE,FALSE),curveName,curveName,,,2),"")</f>
        <v>#NUM!</v>
      </c>
      <c r="AL279" s="213" t="e">
        <f>IF($W279&gt;0,_xll.xlBondZSpread(F279&amp;T(TYPE($AV$1)),H279,G279,J279,K279,L279,M279,D279,U279,"annual",5,IF(NOT($H279),TRUE,FALSE),curveName)*100,"")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4" t="str">
        <f>IF($AN$9+(($AL$9-$AM$9))*('DB Basis'!F439/10-'DB Basis'!E439),," ")</f>
        <v xml:space="preserve"> </v>
      </c>
      <c r="AO279" s="639" t="e">
        <f>IF(U279&gt;0,_xll.xlShmImplSwap2(curveName&amp;T(TYPE($AV$1)),curveName,D279,G279,,1,8,2,4),"")</f>
        <v>#DIV/0!</v>
      </c>
      <c r="AP279" s="640" t="str">
        <f t="shared" si="36"/>
        <v>-</v>
      </c>
      <c r="AQ279" s="386" t="str">
        <f t="shared" si="37"/>
        <v>-</v>
      </c>
      <c r="AR279" s="386" t="str">
        <f t="shared" si="38"/>
        <v>-</v>
      </c>
      <c r="AS279" s="388"/>
      <c r="AT279" s="242" t="str">
        <f t="shared" si="39"/>
        <v>-</v>
      </c>
      <c r="AU279" s="686" t="str">
        <f t="shared" si="42"/>
        <v>#ERROR: Invalid ISIN  #ERROR: Invalid ISIN  #ERROR: Invalid ISIN</v>
      </c>
      <c r="AV279" s="702"/>
      <c r="AW279" s="684"/>
      <c r="AX279" s="684"/>
      <c r="AY279" s="684"/>
      <c r="AZ279" s="684"/>
      <c r="BA279" s="684"/>
      <c r="BC279" s="697"/>
      <c r="BE279" s="706">
        <f>_xll.xlDateShiftMonth(BE278,1)</f>
        <v>51345</v>
      </c>
      <c r="BF279" s="707">
        <v>2.7862253285195808E-2</v>
      </c>
      <c r="BU279" s="133" t="s">
        <v>599</v>
      </c>
      <c r="BV279" s="133" t="s">
        <v>599</v>
      </c>
      <c r="BW279" s="133" t="s">
        <v>599</v>
      </c>
      <c r="BX279" s="133" t="s">
        <v>599</v>
      </c>
      <c r="BY279" s="133" t="s">
        <v>599</v>
      </c>
      <c r="BZ279" s="133" t="s">
        <v>599</v>
      </c>
      <c r="CA279" s="133" t="s">
        <v>599</v>
      </c>
      <c r="CB279" s="133" t="s">
        <v>599</v>
      </c>
      <c r="CC279" s="133" t="s">
        <v>599</v>
      </c>
      <c r="CD279" s="133" t="s">
        <v>599</v>
      </c>
      <c r="CE279" s="133" t="s">
        <v>599</v>
      </c>
      <c r="CF279" s="133" t="s">
        <v>599</v>
      </c>
    </row>
    <row r="280" spans="1:84">
      <c r="A280" s="10"/>
      <c r="B280" s="11"/>
      <c r="C280" s="12"/>
      <c r="D280" s="720">
        <f>MAX(_xll.xlDateSettle("TARGET",$D$4,2),L280)</f>
        <v>43179</v>
      </c>
      <c r="E280" s="718"/>
      <c r="F280" s="13" t="s">
        <v>1769</v>
      </c>
      <c r="G280" s="35" t="s">
        <v>1769</v>
      </c>
      <c r="H280" s="37" t="s">
        <v>1769</v>
      </c>
      <c r="I280" s="11" t="s">
        <v>1769</v>
      </c>
      <c r="J280" s="11" t="s">
        <v>1769</v>
      </c>
      <c r="K280" s="11" t="s">
        <v>1769</v>
      </c>
      <c r="L280" s="11" t="s">
        <v>1769</v>
      </c>
      <c r="M280" s="12" t="s">
        <v>1769</v>
      </c>
      <c r="N280" s="12" t="s">
        <v>1769</v>
      </c>
      <c r="O280" s="12" t="s">
        <v>1769</v>
      </c>
      <c r="P280" s="12" t="s">
        <v>1769</v>
      </c>
      <c r="Q280" s="15" t="s">
        <v>1769</v>
      </c>
      <c r="R280" s="12"/>
      <c r="S280" s="43" t="str">
        <f>_xll.RtGet("IDN",$X280,$S$9)</f>
        <v>#N/A The record could not be found</v>
      </c>
      <c r="T280" s="43" t="str">
        <f>_xll.RtGet("IDN",$X280,$T$9)</f>
        <v>#N/A The record could not be found</v>
      </c>
      <c r="U280" s="25" t="e">
        <f t="shared" si="40"/>
        <v>#DIV/0!</v>
      </c>
      <c r="V280" s="12"/>
      <c r="W280" s="25" t="e">
        <f t="shared" si="41"/>
        <v>#DIV/0!</v>
      </c>
      <c r="X280" s="14" t="str">
        <f t="shared" si="35"/>
        <v>=</v>
      </c>
      <c r="Y280" s="14"/>
      <c r="Z280" s="14"/>
      <c r="AA280" s="14"/>
      <c r="AB280" s="14"/>
      <c r="AC280" s="14"/>
      <c r="AD280" s="34" t="e">
        <f>IF(ISNUMBER($D280),_xll.xlBondYield($F280,$H280,$G280,$J280,$K280,$L280,$M280,$D280,$W280,IF(NOT($H280),TRUE,FALSE)),"")</f>
        <v>#NUM!</v>
      </c>
      <c r="AE280" s="12"/>
      <c r="AF280" s="12"/>
      <c r="AG280" s="12"/>
      <c r="AH280" s="14"/>
      <c r="AI280" s="14"/>
      <c r="AJ280" s="14"/>
      <c r="AK280" s="246" t="e">
        <f>IF(ISNUMBER($D280),_xll.xlBondAswSpread($F280&amp;T(TYPE($AV$1)),$H280,$G280,$J280,$K280,$L280,$M280,$D280,$W280,IF(NOT($H280),TRUE,FALSE),curveName,curveName,,,2),"")</f>
        <v>#NUM!</v>
      </c>
      <c r="AL280" s="213" t="e">
        <f>IF($W280&gt;0,_xll.xlBondZSpread(F280&amp;T(TYPE($AV$1)),H280,G280,J280,K280,L280,M280,D280,U280,"annual",5,IF(NOT($H280),TRUE,FALSE),curveName)*100,"")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4" t="str">
        <f>IF($AN$9+(($AL$9-$AM$9))*('DB Basis'!F440/10-'DB Basis'!E440),," ")</f>
        <v xml:space="preserve"> </v>
      </c>
      <c r="AO280" s="639" t="e">
        <f>IF(U280&gt;0,_xll.xlShmImplSwap2(curveName&amp;T(TYPE($AV$1)),curveName,D280,G280,,1,8,2,4),"")</f>
        <v>#DIV/0!</v>
      </c>
      <c r="AP280" s="640" t="str">
        <f t="shared" si="36"/>
        <v>-</v>
      </c>
      <c r="AQ280" s="386" t="str">
        <f t="shared" si="37"/>
        <v>-</v>
      </c>
      <c r="AR280" s="386" t="str">
        <f t="shared" si="38"/>
        <v>-</v>
      </c>
      <c r="AS280" s="388"/>
      <c r="AT280" s="242" t="str">
        <f t="shared" si="39"/>
        <v>-</v>
      </c>
      <c r="AU280" s="686" t="str">
        <f t="shared" si="42"/>
        <v>#ERROR: Invalid ISIN  #ERROR: Invalid ISIN  #ERROR: Invalid ISIN</v>
      </c>
      <c r="AV280" s="702"/>
      <c r="AW280" s="684"/>
      <c r="AX280" s="684"/>
      <c r="AY280" s="684"/>
      <c r="AZ280" s="684"/>
      <c r="BA280" s="684"/>
      <c r="BC280" s="697"/>
      <c r="BE280" s="706">
        <f>_xll.xlDateShiftMonth(BE279,1)</f>
        <v>51376</v>
      </c>
      <c r="BF280" s="707">
        <v>2.7915286672055381E-2</v>
      </c>
      <c r="BU280" s="133" t="s">
        <v>599</v>
      </c>
      <c r="BV280" s="133" t="s">
        <v>599</v>
      </c>
      <c r="BW280" s="133" t="s">
        <v>599</v>
      </c>
      <c r="BX280" s="133" t="s">
        <v>599</v>
      </c>
      <c r="BY280" s="133" t="s">
        <v>599</v>
      </c>
      <c r="BZ280" s="133" t="s">
        <v>599</v>
      </c>
      <c r="CA280" s="133" t="s">
        <v>599</v>
      </c>
      <c r="CB280" s="133" t="s">
        <v>599</v>
      </c>
      <c r="CC280" s="133" t="s">
        <v>599</v>
      </c>
      <c r="CD280" s="133" t="s">
        <v>599</v>
      </c>
      <c r="CE280" s="133" t="s">
        <v>599</v>
      </c>
      <c r="CF280" s="133" t="s">
        <v>599</v>
      </c>
    </row>
    <row r="281" spans="1:84">
      <c r="A281" s="10"/>
      <c r="B281" s="11"/>
      <c r="C281" s="12"/>
      <c r="D281" s="720">
        <f>MAX(_xll.xlDateSettle("TARGET",$D$4,2),L281)</f>
        <v>43179</v>
      </c>
      <c r="E281" s="718"/>
      <c r="F281" s="13" t="s">
        <v>1769</v>
      </c>
      <c r="G281" s="35" t="s">
        <v>1769</v>
      </c>
      <c r="H281" s="37" t="s">
        <v>1769</v>
      </c>
      <c r="I281" s="11" t="s">
        <v>1769</v>
      </c>
      <c r="J281" s="11" t="s">
        <v>1769</v>
      </c>
      <c r="K281" s="11" t="s">
        <v>1769</v>
      </c>
      <c r="L281" s="11" t="s">
        <v>1769</v>
      </c>
      <c r="M281" s="12" t="s">
        <v>1769</v>
      </c>
      <c r="N281" s="12" t="s">
        <v>1769</v>
      </c>
      <c r="O281" s="12" t="s">
        <v>1769</v>
      </c>
      <c r="P281" s="12" t="s">
        <v>1769</v>
      </c>
      <c r="Q281" s="15" t="s">
        <v>1769</v>
      </c>
      <c r="R281" s="12"/>
      <c r="S281" s="43" t="str">
        <f>_xll.RtGet("IDN",$X281,$S$9)</f>
        <v>#N/A The record could not be found</v>
      </c>
      <c r="T281" s="43" t="str">
        <f>_xll.RtGet("IDN",$X281,$T$9)</f>
        <v>#N/A The record could not be found</v>
      </c>
      <c r="U281" s="25" t="e">
        <f t="shared" si="40"/>
        <v>#DIV/0!</v>
      </c>
      <c r="V281" s="12"/>
      <c r="W281" s="25" t="e">
        <f t="shared" si="41"/>
        <v>#DIV/0!</v>
      </c>
      <c r="X281" s="14" t="str">
        <f t="shared" si="35"/>
        <v>=</v>
      </c>
      <c r="Y281" s="14"/>
      <c r="Z281" s="14"/>
      <c r="AA281" s="14"/>
      <c r="AB281" s="14"/>
      <c r="AC281" s="14"/>
      <c r="AD281" s="34" t="e">
        <f>IF(ISNUMBER($D281),_xll.xlBondYield($F281,$H281,$G281,$J281,$K281,$L281,$M281,$D281,$W281,IF(NOT($H281),TRUE,FALSE)),"")</f>
        <v>#NUM!</v>
      </c>
      <c r="AE281" s="12"/>
      <c r="AF281" s="12"/>
      <c r="AG281" s="12"/>
      <c r="AH281" s="14"/>
      <c r="AI281" s="14"/>
      <c r="AJ281" s="14"/>
      <c r="AK281" s="246" t="e">
        <f>IF(ISNUMBER($D281),_xll.xlBondAswSpread($F281&amp;T(TYPE($AV$1)),$H281,$G281,$J281,$K281,$L281,$M281,$D281,$W281,IF(NOT($H281),TRUE,FALSE),curveName,curveName,,,2),"")</f>
        <v>#NUM!</v>
      </c>
      <c r="AL281" s="213" t="e">
        <f>IF($W281&gt;0,_xll.xlBondZSpread(F281&amp;T(TYPE($AV$1)),H281,G281,J281,K281,L281,M281,D281,U281,"annual",5,IF(NOT($H281),TRUE,FALSE),curveName)*100,"")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4" t="str">
        <f>IF($AN$9+(($AL$9-$AM$9))*('DB Basis'!F441/10-'DB Basis'!E441),," ")</f>
        <v xml:space="preserve"> </v>
      </c>
      <c r="AO281" s="639" t="e">
        <f>IF(U281&gt;0,_xll.xlShmImplSwap2(curveName&amp;T(TYPE($AV$1)),curveName,D281,G281,,1,8,2,4),"")</f>
        <v>#DIV/0!</v>
      </c>
      <c r="AP281" s="640" t="str">
        <f t="shared" si="36"/>
        <v>-</v>
      </c>
      <c r="AQ281" s="386" t="str">
        <f t="shared" si="37"/>
        <v>-</v>
      </c>
      <c r="AR281" s="386" t="str">
        <f t="shared" si="38"/>
        <v>-</v>
      </c>
      <c r="AS281" s="388"/>
      <c r="AT281" s="242" t="str">
        <f t="shared" si="39"/>
        <v>-</v>
      </c>
      <c r="AU281" s="686" t="str">
        <f t="shared" si="42"/>
        <v>#ERROR: Invalid ISIN  #ERROR: Invalid ISIN  #ERROR: Invalid ISIN</v>
      </c>
      <c r="AV281" s="702"/>
      <c r="AW281" s="684"/>
      <c r="AX281" s="684"/>
      <c r="AY281" s="684"/>
      <c r="AZ281" s="684"/>
      <c r="BA281" s="684"/>
      <c r="BC281" s="697"/>
      <c r="BE281" s="706">
        <f>_xll.xlDateShiftMonth(BE280,1)</f>
        <v>51407</v>
      </c>
      <c r="BF281" s="707">
        <v>2.7969204883091819E-2</v>
      </c>
      <c r="BU281" s="133" t="s">
        <v>599</v>
      </c>
      <c r="BV281" s="133" t="s">
        <v>599</v>
      </c>
      <c r="BW281" s="133" t="s">
        <v>599</v>
      </c>
      <c r="BX281" s="133" t="s">
        <v>599</v>
      </c>
      <c r="BY281" s="133" t="s">
        <v>599</v>
      </c>
      <c r="BZ281" s="133" t="s">
        <v>599</v>
      </c>
      <c r="CA281" s="133" t="s">
        <v>599</v>
      </c>
      <c r="CB281" s="133" t="s">
        <v>599</v>
      </c>
      <c r="CC281" s="133" t="s">
        <v>599</v>
      </c>
      <c r="CD281" s="133" t="s">
        <v>599</v>
      </c>
      <c r="CE281" s="133" t="s">
        <v>599</v>
      </c>
      <c r="CF281" s="133" t="s">
        <v>599</v>
      </c>
    </row>
    <row r="282" spans="1:84">
      <c r="A282" s="10"/>
      <c r="B282" s="11"/>
      <c r="C282" s="12"/>
      <c r="D282" s="720">
        <f>MAX(_xll.xlDateSettle("TARGET",$D$4,2),L282)</f>
        <v>43179</v>
      </c>
      <c r="E282" s="718"/>
      <c r="F282" s="13" t="s">
        <v>1769</v>
      </c>
      <c r="G282" s="35" t="s">
        <v>1769</v>
      </c>
      <c r="H282" s="37" t="s">
        <v>1769</v>
      </c>
      <c r="I282" s="11" t="s">
        <v>1769</v>
      </c>
      <c r="J282" s="11" t="s">
        <v>1769</v>
      </c>
      <c r="K282" s="11" t="s">
        <v>1769</v>
      </c>
      <c r="L282" s="11" t="s">
        <v>1769</v>
      </c>
      <c r="M282" s="12" t="s">
        <v>1769</v>
      </c>
      <c r="N282" s="12" t="s">
        <v>1769</v>
      </c>
      <c r="O282" s="12" t="s">
        <v>1769</v>
      </c>
      <c r="P282" s="12" t="s">
        <v>1769</v>
      </c>
      <c r="Q282" s="15" t="s">
        <v>1769</v>
      </c>
      <c r="R282" s="12"/>
      <c r="S282" s="43" t="str">
        <f>_xll.RtGet("IDN",$X282,$S$9)</f>
        <v>#N/A The record could not be found</v>
      </c>
      <c r="T282" s="43" t="str">
        <f>_xll.RtGet("IDN",$X282,$T$9)</f>
        <v>#N/A The record could not be found</v>
      </c>
      <c r="U282" s="25" t="e">
        <f t="shared" si="40"/>
        <v>#DIV/0!</v>
      </c>
      <c r="V282" s="12"/>
      <c r="W282" s="25" t="e">
        <f t="shared" si="41"/>
        <v>#DIV/0!</v>
      </c>
      <c r="X282" s="14" t="str">
        <f t="shared" si="35"/>
        <v>=</v>
      </c>
      <c r="Y282" s="14"/>
      <c r="Z282" s="14"/>
      <c r="AA282" s="14"/>
      <c r="AB282" s="14"/>
      <c r="AC282" s="14"/>
      <c r="AD282" s="34" t="e">
        <f>IF(ISNUMBER($D282),_xll.xlBondYield($F282,$H282,$G282,$J282,$K282,$L282,$M282,$D282,$W282,IF(NOT($H282),TRUE,FALSE)),"")</f>
        <v>#NUM!</v>
      </c>
      <c r="AE282" s="12"/>
      <c r="AF282" s="12"/>
      <c r="AG282" s="12"/>
      <c r="AH282" s="14"/>
      <c r="AI282" s="14"/>
      <c r="AJ282" s="14"/>
      <c r="AK282" s="246" t="e">
        <f>IF(ISNUMBER($D282),_xll.xlBondAswSpread($F282&amp;T(TYPE($AV$1)),$H282,$G282,$J282,$K282,$L282,$M282,$D282,$W282,IF(NOT($H282),TRUE,FALSE),curveName,curveName,,,2),"")</f>
        <v>#NUM!</v>
      </c>
      <c r="AL282" s="213" t="e">
        <f>IF($W282&gt;0,_xll.xlBondZSpread(F282&amp;T(TYPE($AV$1)),H282,G282,J282,K282,L282,M282,D282,U282,"annual",5,IF(NOT($H282),TRUE,FALSE),curveName)*100,"")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4" t="str">
        <f>IF($AN$9+(($AL$9-$AM$9))*('DB Basis'!F442/10-'DB Basis'!E442),," ")</f>
        <v xml:space="preserve"> </v>
      </c>
      <c r="AO282" s="639" t="e">
        <f>IF(U282&gt;0,_xll.xlShmImplSwap2(curveName&amp;T(TYPE($AV$1)),curveName,D282,G282,,1,8,2,4),"")</f>
        <v>#DIV/0!</v>
      </c>
      <c r="AP282" s="640" t="str">
        <f t="shared" si="36"/>
        <v>-</v>
      </c>
      <c r="AQ282" s="386" t="str">
        <f t="shared" si="37"/>
        <v>-</v>
      </c>
      <c r="AR282" s="386" t="str">
        <f t="shared" si="38"/>
        <v>-</v>
      </c>
      <c r="AS282" s="388"/>
      <c r="AT282" s="242" t="str">
        <f t="shared" si="39"/>
        <v>-</v>
      </c>
      <c r="AU282" s="686" t="str">
        <f t="shared" si="42"/>
        <v>#ERROR: Invalid ISIN  #ERROR: Invalid ISIN  #ERROR: Invalid ISIN</v>
      </c>
      <c r="AV282" s="702"/>
      <c r="AW282" s="684"/>
      <c r="AX282" s="684"/>
      <c r="AY282" s="684"/>
      <c r="AZ282" s="684"/>
      <c r="BA282" s="684"/>
      <c r="BC282" s="697"/>
      <c r="BE282" s="706">
        <f>_xll.xlDateShiftMonth(BE281,1)</f>
        <v>51437</v>
      </c>
      <c r="BF282" s="707">
        <v>2.8022246080168432E-2</v>
      </c>
      <c r="BU282" s="133" t="s">
        <v>599</v>
      </c>
      <c r="BV282" s="133" t="s">
        <v>599</v>
      </c>
      <c r="BW282" s="133" t="s">
        <v>599</v>
      </c>
      <c r="BX282" s="133" t="s">
        <v>599</v>
      </c>
      <c r="BY282" s="133" t="s">
        <v>599</v>
      </c>
      <c r="BZ282" s="133" t="s">
        <v>599</v>
      </c>
      <c r="CA282" s="133" t="s">
        <v>599</v>
      </c>
      <c r="CB282" s="133" t="s">
        <v>599</v>
      </c>
      <c r="CC282" s="133" t="s">
        <v>599</v>
      </c>
      <c r="CD282" s="133" t="s">
        <v>599</v>
      </c>
      <c r="CE282" s="133" t="s">
        <v>599</v>
      </c>
      <c r="CF282" s="133" t="s">
        <v>599</v>
      </c>
    </row>
    <row r="283" spans="1:84">
      <c r="A283" s="10"/>
      <c r="B283" s="11"/>
      <c r="C283" s="12"/>
      <c r="D283" s="720">
        <f>MAX(_xll.xlDateSettle("TARGET",$D$4,2),L283)</f>
        <v>43179</v>
      </c>
      <c r="E283" s="718"/>
      <c r="F283" s="13" t="s">
        <v>1769</v>
      </c>
      <c r="G283" s="35" t="s">
        <v>1769</v>
      </c>
      <c r="H283" s="37" t="s">
        <v>1769</v>
      </c>
      <c r="I283" s="11" t="s">
        <v>1769</v>
      </c>
      <c r="J283" s="11" t="s">
        <v>1769</v>
      </c>
      <c r="K283" s="11" t="s">
        <v>1769</v>
      </c>
      <c r="L283" s="11" t="s">
        <v>1769</v>
      </c>
      <c r="M283" s="12" t="s">
        <v>1769</v>
      </c>
      <c r="N283" s="12" t="s">
        <v>1769</v>
      </c>
      <c r="O283" s="12" t="s">
        <v>1769</v>
      </c>
      <c r="P283" s="12" t="s">
        <v>1769</v>
      </c>
      <c r="Q283" s="15" t="s">
        <v>1769</v>
      </c>
      <c r="R283" s="12"/>
      <c r="S283" s="43" t="str">
        <f>_xll.RtGet("IDN",$X283,$S$9)</f>
        <v>#N/A The record could not be found</v>
      </c>
      <c r="T283" s="43" t="str">
        <f>_xll.RtGet("IDN",$X283,$T$9)</f>
        <v>#N/A The record could not be found</v>
      </c>
      <c r="U283" s="25" t="e">
        <f t="shared" si="40"/>
        <v>#DIV/0!</v>
      </c>
      <c r="V283" s="12"/>
      <c r="W283" s="25" t="e">
        <f t="shared" si="41"/>
        <v>#DIV/0!</v>
      </c>
      <c r="X283" s="14" t="str">
        <f t="shared" si="35"/>
        <v>=</v>
      </c>
      <c r="Y283" s="14"/>
      <c r="Z283" s="14"/>
      <c r="AA283" s="14"/>
      <c r="AB283" s="14"/>
      <c r="AC283" s="14"/>
      <c r="AD283" s="34" t="e">
        <f>IF(ISNUMBER($D283),_xll.xlBondYield($F283,$H283,$G283,$J283,$K283,$L283,$M283,$D283,$W283,IF(NOT($H283),TRUE,FALSE)),"")</f>
        <v>#NUM!</v>
      </c>
      <c r="AE283" s="12"/>
      <c r="AF283" s="12"/>
      <c r="AG283" s="12"/>
      <c r="AH283" s="14"/>
      <c r="AI283" s="14"/>
      <c r="AJ283" s="14"/>
      <c r="AK283" s="246" t="e">
        <f>IF(ISNUMBER($D283),_xll.xlBondAswSpread($F283&amp;T(TYPE($AV$1)),$H283,$G283,$J283,$K283,$L283,$M283,$D283,$W283,IF(NOT($H283),TRUE,FALSE),curveName,curveName,,,2),"")</f>
        <v>#NUM!</v>
      </c>
      <c r="AL283" s="213" t="e">
        <f>IF($W283&gt;0,_xll.xlBondZSpread(F283&amp;T(TYPE($AV$1)),H283,G283,J283,K283,L283,M283,D283,U283,"annual",5,IF(NOT($H283),TRUE,FALSE),curveName)*100,"")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4" t="str">
        <f>IF($AN$9+(($AL$9-$AM$9))*('DB Basis'!F443/10-'DB Basis'!E443),," ")</f>
        <v xml:space="preserve"> </v>
      </c>
      <c r="AO283" s="639" t="e">
        <f>IF(U283&gt;0,_xll.xlShmImplSwap2(curveName&amp;T(TYPE($AV$1)),curveName,D283,G283,,1,8,2,4),"")</f>
        <v>#DIV/0!</v>
      </c>
      <c r="AP283" s="640" t="str">
        <f t="shared" si="36"/>
        <v>-</v>
      </c>
      <c r="AQ283" s="386" t="str">
        <f t="shared" si="37"/>
        <v>-</v>
      </c>
      <c r="AR283" s="386" t="str">
        <f t="shared" si="38"/>
        <v>-</v>
      </c>
      <c r="AS283" s="388"/>
      <c r="AT283" s="242" t="str">
        <f t="shared" si="39"/>
        <v>-</v>
      </c>
      <c r="AU283" s="686" t="str">
        <f t="shared" si="42"/>
        <v>#ERROR: Invalid ISIN  #ERROR: Invalid ISIN  #ERROR: Invalid ISIN</v>
      </c>
      <c r="AV283" s="702"/>
      <c r="AW283" s="684"/>
      <c r="AX283" s="684"/>
      <c r="AY283" s="684"/>
      <c r="AZ283" s="684"/>
      <c r="BA283" s="684"/>
      <c r="BC283" s="697"/>
      <c r="BE283" s="706">
        <f>_xll.xlDateShiftMonth(BE282,1)</f>
        <v>51468</v>
      </c>
      <c r="BF283" s="707">
        <v>2.8077966816213887E-2</v>
      </c>
      <c r="BU283" s="133" t="s">
        <v>599</v>
      </c>
      <c r="BV283" s="133" t="s">
        <v>599</v>
      </c>
      <c r="BW283" s="133" t="s">
        <v>599</v>
      </c>
      <c r="BX283" s="133" t="s">
        <v>599</v>
      </c>
      <c r="BY283" s="133" t="s">
        <v>599</v>
      </c>
      <c r="BZ283" s="133" t="s">
        <v>599</v>
      </c>
      <c r="CA283" s="133" t="s">
        <v>599</v>
      </c>
      <c r="CB283" s="133" t="s">
        <v>599</v>
      </c>
      <c r="CC283" s="133" t="s">
        <v>599</v>
      </c>
      <c r="CD283" s="133" t="s">
        <v>599</v>
      </c>
      <c r="CE283" s="133" t="s">
        <v>599</v>
      </c>
      <c r="CF283" s="133" t="s">
        <v>599</v>
      </c>
    </row>
    <row r="284" spans="1:84">
      <c r="A284" s="10"/>
      <c r="B284" s="11"/>
      <c r="C284" s="12"/>
      <c r="D284" s="720">
        <f>MAX(_xll.xlDateSettle("TARGET",$D$4,2),L284)</f>
        <v>43179</v>
      </c>
      <c r="E284" s="718"/>
      <c r="F284" s="13" t="s">
        <v>1769</v>
      </c>
      <c r="G284" s="35" t="s">
        <v>1769</v>
      </c>
      <c r="H284" s="37" t="s">
        <v>1769</v>
      </c>
      <c r="I284" s="11" t="s">
        <v>1769</v>
      </c>
      <c r="J284" s="11" t="s">
        <v>1769</v>
      </c>
      <c r="K284" s="11" t="s">
        <v>1769</v>
      </c>
      <c r="L284" s="11" t="s">
        <v>1769</v>
      </c>
      <c r="M284" s="12" t="s">
        <v>1769</v>
      </c>
      <c r="N284" s="12" t="s">
        <v>1769</v>
      </c>
      <c r="O284" s="12" t="s">
        <v>1769</v>
      </c>
      <c r="P284" s="12" t="s">
        <v>1769</v>
      </c>
      <c r="Q284" s="15" t="s">
        <v>1769</v>
      </c>
      <c r="R284" s="12"/>
      <c r="S284" s="43" t="str">
        <f>_xll.RtGet("IDN",$X284,$S$9)</f>
        <v>#N/A The record could not be found</v>
      </c>
      <c r="T284" s="43" t="str">
        <f>_xll.RtGet("IDN",$X284,$T$9)</f>
        <v>#N/A The record could not be found</v>
      </c>
      <c r="U284" s="25" t="e">
        <f t="shared" si="40"/>
        <v>#DIV/0!</v>
      </c>
      <c r="V284" s="12"/>
      <c r="W284" s="25" t="e">
        <f t="shared" si="41"/>
        <v>#DIV/0!</v>
      </c>
      <c r="X284" s="14" t="str">
        <f t="shared" si="35"/>
        <v>=</v>
      </c>
      <c r="Y284" s="14"/>
      <c r="Z284" s="14"/>
      <c r="AA284" s="14"/>
      <c r="AB284" s="14"/>
      <c r="AC284" s="14"/>
      <c r="AD284" s="34" t="e">
        <f>IF(ISNUMBER($D284),_xll.xlBondYield($F284,$H284,$G284,$J284,$K284,$L284,$M284,$D284,$W284,IF(NOT($H284),TRUE,FALSE)),"")</f>
        <v>#NUM!</v>
      </c>
      <c r="AE284" s="12"/>
      <c r="AF284" s="12"/>
      <c r="AG284" s="12"/>
      <c r="AH284" s="14"/>
      <c r="AI284" s="14"/>
      <c r="AJ284" s="14"/>
      <c r="AK284" s="246" t="e">
        <f>IF(ISNUMBER($D284),_xll.xlBondAswSpread($F284&amp;T(TYPE($AV$1)),$H284,$G284,$J284,$K284,$L284,$M284,$D284,$W284,IF(NOT($H284),TRUE,FALSE),curveName,curveName,,,2),"")</f>
        <v>#NUM!</v>
      </c>
      <c r="AL284" s="213" t="e">
        <f>IF($W284&gt;0,_xll.xlBondZSpread(F284&amp;T(TYPE($AV$1)),H284,G284,J284,K284,L284,M284,D284,U284,"annual",5,IF(NOT($H284),TRUE,FALSE),curveName)*100,"")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4" t="str">
        <f>IF($AN$9+(($AL$9-$AM$9))*('DB Basis'!F444/10-'DB Basis'!E444),," ")</f>
        <v xml:space="preserve"> </v>
      </c>
      <c r="AO284" s="639" t="e">
        <f>IF(U284&gt;0,_xll.xlShmImplSwap2(curveName&amp;T(TYPE($AV$1)),curveName,D284,G284,,1,8,2,4),"")</f>
        <v>#DIV/0!</v>
      </c>
      <c r="AP284" s="640" t="str">
        <f t="shared" si="36"/>
        <v>-</v>
      </c>
      <c r="AQ284" s="386" t="str">
        <f t="shared" si="37"/>
        <v>-</v>
      </c>
      <c r="AR284" s="386" t="str">
        <f t="shared" si="38"/>
        <v>-</v>
      </c>
      <c r="AS284" s="388"/>
      <c r="AT284" s="242" t="str">
        <f t="shared" si="39"/>
        <v>-</v>
      </c>
      <c r="AU284" s="686" t="str">
        <f t="shared" si="42"/>
        <v>#ERROR: Invalid ISIN  #ERROR: Invalid ISIN  #ERROR: Invalid ISIN</v>
      </c>
      <c r="AV284" s="702"/>
      <c r="AW284" s="684"/>
      <c r="AX284" s="684"/>
      <c r="AY284" s="684"/>
      <c r="AZ284" s="684"/>
      <c r="BA284" s="684"/>
      <c r="BC284" s="697"/>
      <c r="BE284" s="706">
        <f>_xll.xlDateShiftMonth(BE283,1)</f>
        <v>51498</v>
      </c>
      <c r="BF284" s="707">
        <v>2.8132791802376492E-2</v>
      </c>
      <c r="BU284" s="133" t="s">
        <v>599</v>
      </c>
      <c r="BV284" s="133" t="s">
        <v>599</v>
      </c>
      <c r="BW284" s="133" t="s">
        <v>599</v>
      </c>
      <c r="BX284" s="133" t="s">
        <v>599</v>
      </c>
      <c r="BY284" s="133" t="s">
        <v>599</v>
      </c>
      <c r="BZ284" s="133" t="s">
        <v>599</v>
      </c>
      <c r="CA284" s="133" t="s">
        <v>599</v>
      </c>
      <c r="CB284" s="133" t="s">
        <v>599</v>
      </c>
      <c r="CC284" s="133" t="s">
        <v>599</v>
      </c>
      <c r="CD284" s="133" t="s">
        <v>599</v>
      </c>
      <c r="CE284" s="133" t="s">
        <v>599</v>
      </c>
      <c r="CF284" s="133" t="s">
        <v>599</v>
      </c>
    </row>
    <row r="285" spans="1:84">
      <c r="A285" s="10"/>
      <c r="B285" s="11"/>
      <c r="C285" s="12"/>
      <c r="D285" s="720">
        <f>MAX(_xll.xlDateSettle("TARGET",$D$4,2),L285)</f>
        <v>43179</v>
      </c>
      <c r="E285" s="718"/>
      <c r="F285" s="13" t="s">
        <v>1769</v>
      </c>
      <c r="G285" s="35" t="s">
        <v>1769</v>
      </c>
      <c r="H285" s="37" t="s">
        <v>1769</v>
      </c>
      <c r="I285" s="11" t="s">
        <v>1769</v>
      </c>
      <c r="J285" s="11" t="s">
        <v>1769</v>
      </c>
      <c r="K285" s="11" t="s">
        <v>1769</v>
      </c>
      <c r="L285" s="11" t="s">
        <v>1769</v>
      </c>
      <c r="M285" s="12" t="s">
        <v>1769</v>
      </c>
      <c r="N285" s="12" t="s">
        <v>1769</v>
      </c>
      <c r="O285" s="12" t="s">
        <v>1769</v>
      </c>
      <c r="P285" s="12" t="s">
        <v>1769</v>
      </c>
      <c r="Q285" s="15" t="s">
        <v>1769</v>
      </c>
      <c r="R285" s="12"/>
      <c r="S285" s="43" t="str">
        <f>_xll.RtGet("IDN",$X285,$S$9)</f>
        <v>#N/A The record could not be found</v>
      </c>
      <c r="T285" s="43" t="str">
        <f>_xll.RtGet("IDN",$X285,$T$9)</f>
        <v>#N/A The record could not be found</v>
      </c>
      <c r="U285" s="25" t="e">
        <f t="shared" si="40"/>
        <v>#DIV/0!</v>
      </c>
      <c r="V285" s="12"/>
      <c r="W285" s="25" t="e">
        <f t="shared" si="41"/>
        <v>#DIV/0!</v>
      </c>
      <c r="X285" s="14" t="str">
        <f t="shared" si="35"/>
        <v>=</v>
      </c>
      <c r="Y285" s="14"/>
      <c r="Z285" s="14"/>
      <c r="AA285" s="14"/>
      <c r="AB285" s="14"/>
      <c r="AC285" s="14"/>
      <c r="AD285" s="34" t="e">
        <f>IF(ISNUMBER($D285),_xll.xlBondYield($F285,$H285,$G285,$J285,$K285,$L285,$M285,$D285,$W285,IF(NOT($H285),TRUE,FALSE)),"")</f>
        <v>#NUM!</v>
      </c>
      <c r="AE285" s="12"/>
      <c r="AF285" s="12"/>
      <c r="AG285" s="12"/>
      <c r="AH285" s="14"/>
      <c r="AI285" s="14"/>
      <c r="AJ285" s="14"/>
      <c r="AK285" s="246" t="e">
        <f>IF(ISNUMBER($D285),_xll.xlBondAswSpread($F285&amp;T(TYPE($AV$1)),$H285,$G285,$J285,$K285,$L285,$M285,$D285,$W285,IF(NOT($H285),TRUE,FALSE),curveName,curveName,,,2),"")</f>
        <v>#NUM!</v>
      </c>
      <c r="AL285" s="213" t="e">
        <f>IF($W285&gt;0,_xll.xlBondZSpread(F285&amp;T(TYPE($AV$1)),H285,G285,J285,K285,L285,M285,D285,U285,"annual",5,IF(NOT($H285),TRUE,FALSE),curveName)*100,"")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4" t="str">
        <f>IF($AN$9+(($AL$9-$AM$9))*('DB Basis'!F445/10-'DB Basis'!E445),," ")</f>
        <v xml:space="preserve"> </v>
      </c>
      <c r="AO285" s="639" t="e">
        <f>IF(U285&gt;0,_xll.xlShmImplSwap2(curveName&amp;T(TYPE($AV$1)),curveName,D285,G285,,1,8,2,4),"")</f>
        <v>#DIV/0!</v>
      </c>
      <c r="AP285" s="640" t="str">
        <f t="shared" si="36"/>
        <v>-</v>
      </c>
      <c r="AQ285" s="386" t="str">
        <f t="shared" si="37"/>
        <v>-</v>
      </c>
      <c r="AR285" s="386" t="str">
        <f t="shared" si="38"/>
        <v>-</v>
      </c>
      <c r="AS285" s="388"/>
      <c r="AT285" s="242" t="str">
        <f t="shared" si="39"/>
        <v>-</v>
      </c>
      <c r="AU285" s="686" t="str">
        <f t="shared" si="42"/>
        <v>#ERROR: Invalid ISIN  #ERROR: Invalid ISIN  #ERROR: Invalid ISIN</v>
      </c>
      <c r="AV285" s="702"/>
      <c r="AW285" s="684"/>
      <c r="AX285" s="684"/>
      <c r="AY285" s="684"/>
      <c r="AZ285" s="684"/>
      <c r="BA285" s="684"/>
      <c r="BC285" s="697"/>
      <c r="BE285" s="706">
        <f>_xll.xlDateShiftMonth(BE284,1)</f>
        <v>51529</v>
      </c>
      <c r="BF285" s="707">
        <v>2.8190396510857304E-2</v>
      </c>
      <c r="BU285" s="133" t="s">
        <v>599</v>
      </c>
      <c r="BV285" s="133" t="s">
        <v>599</v>
      </c>
      <c r="BW285" s="133" t="s">
        <v>599</v>
      </c>
      <c r="BX285" s="133" t="s">
        <v>599</v>
      </c>
      <c r="BY285" s="133" t="s">
        <v>599</v>
      </c>
      <c r="BZ285" s="133" t="s">
        <v>599</v>
      </c>
      <c r="CA285" s="133" t="s">
        <v>599</v>
      </c>
      <c r="CB285" s="133" t="s">
        <v>599</v>
      </c>
      <c r="CC285" s="133" t="s">
        <v>599</v>
      </c>
      <c r="CD285" s="133" t="s">
        <v>599</v>
      </c>
      <c r="CE285" s="133" t="s">
        <v>599</v>
      </c>
      <c r="CF285" s="133" t="s">
        <v>599</v>
      </c>
    </row>
    <row r="286" spans="1:84">
      <c r="A286" s="10"/>
      <c r="B286" s="11"/>
      <c r="C286" s="12"/>
      <c r="D286" s="720">
        <f>MAX(_xll.xlDateSettle("TARGET",$D$4,2),L286)</f>
        <v>43179</v>
      </c>
      <c r="E286" s="718"/>
      <c r="F286" s="13" t="s">
        <v>1769</v>
      </c>
      <c r="G286" s="35" t="s">
        <v>1769</v>
      </c>
      <c r="H286" s="37" t="s">
        <v>1769</v>
      </c>
      <c r="I286" s="11" t="s">
        <v>1769</v>
      </c>
      <c r="J286" s="11" t="s">
        <v>1769</v>
      </c>
      <c r="K286" s="11" t="s">
        <v>1769</v>
      </c>
      <c r="L286" s="11" t="s">
        <v>1769</v>
      </c>
      <c r="M286" s="12" t="s">
        <v>1769</v>
      </c>
      <c r="N286" s="12" t="s">
        <v>1769</v>
      </c>
      <c r="O286" s="12" t="s">
        <v>1769</v>
      </c>
      <c r="P286" s="12" t="s">
        <v>1769</v>
      </c>
      <c r="Q286" s="15" t="s">
        <v>1769</v>
      </c>
      <c r="R286" s="12"/>
      <c r="S286" s="43" t="str">
        <f>_xll.RtGet("IDN",$X286,$S$9)</f>
        <v>#N/A The record could not be found</v>
      </c>
      <c r="T286" s="43" t="str">
        <f>_xll.RtGet("IDN",$X286,$T$9)</f>
        <v>#N/A The record could not be found</v>
      </c>
      <c r="U286" s="25" t="e">
        <f t="shared" si="40"/>
        <v>#DIV/0!</v>
      </c>
      <c r="V286" s="12"/>
      <c r="W286" s="25" t="e">
        <f t="shared" si="41"/>
        <v>#DIV/0!</v>
      </c>
      <c r="X286" s="14" t="str">
        <f t="shared" si="35"/>
        <v>=</v>
      </c>
      <c r="Y286" s="14"/>
      <c r="Z286" s="14"/>
      <c r="AA286" s="14"/>
      <c r="AB286" s="14"/>
      <c r="AC286" s="14"/>
      <c r="AD286" s="34" t="e">
        <f>IF(ISNUMBER($D286),_xll.xlBondYield($F286,$H286,$G286,$J286,$K286,$L286,$M286,$D286,$W286,IF(NOT($H286),TRUE,FALSE)),"")</f>
        <v>#NUM!</v>
      </c>
      <c r="AE286" s="12"/>
      <c r="AF286" s="12"/>
      <c r="AG286" s="12"/>
      <c r="AH286" s="14"/>
      <c r="AI286" s="14"/>
      <c r="AJ286" s="14"/>
      <c r="AK286" s="246" t="e">
        <f>IF(ISNUMBER($D286),_xll.xlBondAswSpread($F286&amp;T(TYPE($AV$1)),$H286,$G286,$J286,$K286,$L286,$M286,$D286,$W286,IF(NOT($H286),TRUE,FALSE),curveName,curveName,,,2),"")</f>
        <v>#NUM!</v>
      </c>
      <c r="AL286" s="213" t="e">
        <f>IF($W286&gt;0,_xll.xlBondZSpread(F286&amp;T(TYPE($AV$1)),H286,G286,J286,K286,L286,M286,D286,U286,"annual",5,IF(NOT($H286),TRUE,FALSE),curveName)*100,"")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4" t="str">
        <f>IF($AN$9+(($AL$9-$AM$9))*('DB Basis'!F446/10-'DB Basis'!E446),," ")</f>
        <v xml:space="preserve"> </v>
      </c>
      <c r="AO286" s="639" t="e">
        <f>IF(U286&gt;0,_xll.xlShmImplSwap2(curveName&amp;T(TYPE($AV$1)),curveName,D286,G286,,1,8,2,4),"")</f>
        <v>#DIV/0!</v>
      </c>
      <c r="AP286" s="640" t="str">
        <f t="shared" si="36"/>
        <v>-</v>
      </c>
      <c r="AQ286" s="386" t="str">
        <f t="shared" si="37"/>
        <v>-</v>
      </c>
      <c r="AR286" s="386" t="str">
        <f t="shared" si="38"/>
        <v>-</v>
      </c>
      <c r="AS286" s="388"/>
      <c r="AT286" s="242" t="str">
        <f t="shared" si="39"/>
        <v>-</v>
      </c>
      <c r="AU286" s="686" t="str">
        <f t="shared" si="42"/>
        <v>#ERROR: Invalid ISIN  #ERROR: Invalid ISIN  #ERROR: Invalid ISIN</v>
      </c>
      <c r="AV286" s="702"/>
      <c r="AW286" s="684"/>
      <c r="AX286" s="684"/>
      <c r="AY286" s="684"/>
      <c r="AZ286" s="684"/>
      <c r="BA286" s="684"/>
      <c r="BC286" s="697"/>
      <c r="BE286" s="706">
        <f>_xll.xlDateShiftMonth(BE285,1)</f>
        <v>51560</v>
      </c>
      <c r="BF286" s="707">
        <v>2.8248989861075609E-2</v>
      </c>
      <c r="BU286" s="133" t="s">
        <v>599</v>
      </c>
      <c r="BV286" s="133" t="s">
        <v>599</v>
      </c>
      <c r="BW286" s="133" t="s">
        <v>599</v>
      </c>
      <c r="BX286" s="133" t="s">
        <v>599</v>
      </c>
      <c r="BY286" s="133" t="s">
        <v>599</v>
      </c>
      <c r="BZ286" s="133" t="s">
        <v>599</v>
      </c>
      <c r="CA286" s="133" t="s">
        <v>599</v>
      </c>
      <c r="CB286" s="133" t="s">
        <v>599</v>
      </c>
      <c r="CC286" s="133" t="s">
        <v>599</v>
      </c>
      <c r="CD286" s="133" t="s">
        <v>599</v>
      </c>
      <c r="CE286" s="133" t="s">
        <v>599</v>
      </c>
      <c r="CF286" s="133" t="s">
        <v>599</v>
      </c>
    </row>
    <row r="287" spans="1:84">
      <c r="A287" s="10"/>
      <c r="B287" s="11"/>
      <c r="C287" s="12"/>
      <c r="D287" s="720">
        <f>MAX(_xll.xlDateSettle("TARGET",$D$4,2),L287)</f>
        <v>43179</v>
      </c>
      <c r="E287" s="718"/>
      <c r="F287" s="13" t="s">
        <v>1769</v>
      </c>
      <c r="G287" s="35" t="s">
        <v>1769</v>
      </c>
      <c r="H287" s="37" t="s">
        <v>1769</v>
      </c>
      <c r="I287" s="11" t="s">
        <v>1769</v>
      </c>
      <c r="J287" s="11" t="s">
        <v>1769</v>
      </c>
      <c r="K287" s="11" t="s">
        <v>1769</v>
      </c>
      <c r="L287" s="11" t="s">
        <v>1769</v>
      </c>
      <c r="M287" s="12" t="s">
        <v>1769</v>
      </c>
      <c r="N287" s="12" t="s">
        <v>1769</v>
      </c>
      <c r="O287" s="12" t="s">
        <v>1769</v>
      </c>
      <c r="P287" s="12" t="s">
        <v>1769</v>
      </c>
      <c r="Q287" s="15" t="s">
        <v>1769</v>
      </c>
      <c r="R287" s="12"/>
      <c r="S287" s="43" t="str">
        <f>_xll.RtGet("IDN",$X287,$S$9)</f>
        <v>#N/A The record could not be found</v>
      </c>
      <c r="T287" s="43" t="str">
        <f>_xll.RtGet("IDN",$X287,$T$9)</f>
        <v>#N/A The record could not be found</v>
      </c>
      <c r="U287" s="25" t="e">
        <f t="shared" si="40"/>
        <v>#DIV/0!</v>
      </c>
      <c r="V287" s="12"/>
      <c r="W287" s="25" t="e">
        <f t="shared" si="41"/>
        <v>#DIV/0!</v>
      </c>
      <c r="X287" s="14" t="str">
        <f t="shared" si="35"/>
        <v>=</v>
      </c>
      <c r="Y287" s="14"/>
      <c r="Z287" s="14"/>
      <c r="AA287" s="14"/>
      <c r="AB287" s="14"/>
      <c r="AC287" s="14"/>
      <c r="AD287" s="34" t="e">
        <f>IF(ISNUMBER($D287),_xll.xlBondYield($F287,$H287,$G287,$J287,$K287,$L287,$M287,$D287,$W287,IF(NOT($H287),TRUE,FALSE)),"")</f>
        <v>#NUM!</v>
      </c>
      <c r="AE287" s="12"/>
      <c r="AF287" s="12"/>
      <c r="AG287" s="12"/>
      <c r="AH287" s="14"/>
      <c r="AI287" s="14"/>
      <c r="AJ287" s="14"/>
      <c r="AK287" s="246" t="e">
        <f>IF(ISNUMBER($D287),_xll.xlBondAswSpread($F287&amp;T(TYPE($AV$1)),$H287,$G287,$J287,$K287,$L287,$M287,$D287,$W287,IF(NOT($H287),TRUE,FALSE),curveName,curveName,,,2),"")</f>
        <v>#NUM!</v>
      </c>
      <c r="AL287" s="213" t="e">
        <f>IF($W287&gt;0,_xll.xlBondZSpread(F287&amp;T(TYPE($AV$1)),H287,G287,J287,K287,L287,M287,D287,U287,"annual",5,IF(NOT($H287),TRUE,FALSE),curveName)*100,"")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4" t="str">
        <f>IF($AN$9+(($AL$9-$AM$9))*('DB Basis'!F447/10-'DB Basis'!E447),," ")</f>
        <v xml:space="preserve"> </v>
      </c>
      <c r="AO287" s="639" t="e">
        <f>IF(U287&gt;0,_xll.xlShmImplSwap2(curveName&amp;T(TYPE($AV$1)),curveName,D287,G287,,1,8,2,4),"")</f>
        <v>#DIV/0!</v>
      </c>
      <c r="AP287" s="640" t="str">
        <f t="shared" si="36"/>
        <v>-</v>
      </c>
      <c r="AQ287" s="386" t="str">
        <f t="shared" si="37"/>
        <v>-</v>
      </c>
      <c r="AR287" s="386" t="str">
        <f t="shared" si="38"/>
        <v>-</v>
      </c>
      <c r="AS287" s="388"/>
      <c r="AT287" s="242" t="str">
        <f t="shared" si="39"/>
        <v>-</v>
      </c>
      <c r="AU287" s="686" t="str">
        <f t="shared" si="42"/>
        <v>#ERROR: Invalid ISIN  #ERROR: Invalid ISIN  #ERROR: Invalid ISIN</v>
      </c>
      <c r="AV287" s="702"/>
      <c r="AW287" s="684"/>
      <c r="AX287" s="684"/>
      <c r="AY287" s="684"/>
      <c r="AZ287" s="684"/>
      <c r="BA287" s="684"/>
      <c r="BC287" s="697"/>
      <c r="BE287" s="706">
        <f>_xll.xlDateShiftMonth(BE286,1)</f>
        <v>51588</v>
      </c>
      <c r="BF287" s="707">
        <v>2.8302780142488933E-2</v>
      </c>
      <c r="BU287" s="133" t="s">
        <v>599</v>
      </c>
      <c r="BV287" s="133" t="s">
        <v>599</v>
      </c>
      <c r="BW287" s="133" t="s">
        <v>599</v>
      </c>
      <c r="BX287" s="133" t="s">
        <v>599</v>
      </c>
      <c r="BY287" s="133" t="s">
        <v>599</v>
      </c>
      <c r="BZ287" s="133" t="s">
        <v>599</v>
      </c>
      <c r="CA287" s="133" t="s">
        <v>599</v>
      </c>
      <c r="CB287" s="133" t="s">
        <v>599</v>
      </c>
      <c r="CC287" s="133" t="s">
        <v>599</v>
      </c>
      <c r="CD287" s="133" t="s">
        <v>599</v>
      </c>
      <c r="CE287" s="133" t="s">
        <v>599</v>
      </c>
      <c r="CF287" s="133" t="s">
        <v>599</v>
      </c>
    </row>
    <row r="288" spans="1:84">
      <c r="A288" s="10"/>
      <c r="B288" s="11"/>
      <c r="C288" s="12"/>
      <c r="D288" s="720">
        <f>MAX(_xll.xlDateSettle("TARGET",$D$4,2),L288)</f>
        <v>43179</v>
      </c>
      <c r="E288" s="718"/>
      <c r="F288" s="13" t="s">
        <v>1769</v>
      </c>
      <c r="G288" s="35" t="s">
        <v>1769</v>
      </c>
      <c r="H288" s="37" t="s">
        <v>1769</v>
      </c>
      <c r="I288" s="11" t="s">
        <v>1769</v>
      </c>
      <c r="J288" s="11" t="s">
        <v>1769</v>
      </c>
      <c r="K288" s="11" t="s">
        <v>1769</v>
      </c>
      <c r="L288" s="11" t="s">
        <v>1769</v>
      </c>
      <c r="M288" s="12" t="s">
        <v>1769</v>
      </c>
      <c r="N288" s="12" t="s">
        <v>1769</v>
      </c>
      <c r="O288" s="12" t="s">
        <v>1769</v>
      </c>
      <c r="P288" s="12" t="s">
        <v>1769</v>
      </c>
      <c r="Q288" s="15" t="s">
        <v>1769</v>
      </c>
      <c r="R288" s="12"/>
      <c r="S288" s="43" t="str">
        <f>_xll.RtGet("IDN",$X288,$S$9)</f>
        <v>#N/A The record could not be found</v>
      </c>
      <c r="T288" s="43" t="str">
        <f>_xll.RtGet("IDN",$X288,$T$9)</f>
        <v>#N/A The record could not be found</v>
      </c>
      <c r="U288" s="25" t="e">
        <f t="shared" si="40"/>
        <v>#DIV/0!</v>
      </c>
      <c r="V288" s="12"/>
      <c r="W288" s="25" t="e">
        <f t="shared" si="41"/>
        <v>#DIV/0!</v>
      </c>
      <c r="X288" s="14" t="str">
        <f t="shared" si="35"/>
        <v>=</v>
      </c>
      <c r="Y288" s="14"/>
      <c r="Z288" s="14"/>
      <c r="AA288" s="14"/>
      <c r="AB288" s="14"/>
      <c r="AC288" s="14"/>
      <c r="AD288" s="34" t="e">
        <f>IF(ISNUMBER($D288),_xll.xlBondYield($F288,$H288,$G288,$J288,$K288,$L288,$M288,$D288,$W288,IF(NOT($H288),TRUE,FALSE)),"")</f>
        <v>#NUM!</v>
      </c>
      <c r="AE288" s="12"/>
      <c r="AF288" s="12"/>
      <c r="AG288" s="12"/>
      <c r="AH288" s="14"/>
      <c r="AI288" s="14"/>
      <c r="AJ288" s="14"/>
      <c r="AK288" s="246" t="e">
        <f>IF(ISNUMBER($D288),_xll.xlBondAswSpread($F288&amp;T(TYPE($AV$1)),$H288,$G288,$J288,$K288,$L288,$M288,$D288,$W288,IF(NOT($H288),TRUE,FALSE),curveName,curveName,,,2),"")</f>
        <v>#NUM!</v>
      </c>
      <c r="AL288" s="213" t="e">
        <f>IF($W288&gt;0,_xll.xlBondZSpread(F288&amp;T(TYPE($AV$1)),H288,G288,J288,K288,L288,M288,D288,U288,"annual",5,IF(NOT($H288),TRUE,FALSE),curveName)*100,"")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4" t="str">
        <f>IF($AN$9+(($AL$9-$AM$9))*('DB Basis'!F448/10-'DB Basis'!E448),," ")</f>
        <v xml:space="preserve"> </v>
      </c>
      <c r="AO288" s="639" t="e">
        <f>IF(U288&gt;0,_xll.xlShmImplSwap2(curveName&amp;T(TYPE($AV$1)),curveName,D288,G288,,1,8,2,4),"")</f>
        <v>#DIV/0!</v>
      </c>
      <c r="AP288" s="640" t="str">
        <f t="shared" si="36"/>
        <v>-</v>
      </c>
      <c r="AQ288" s="386" t="str">
        <f t="shared" si="37"/>
        <v>-</v>
      </c>
      <c r="AR288" s="386" t="str">
        <f t="shared" si="38"/>
        <v>-</v>
      </c>
      <c r="AS288" s="388"/>
      <c r="AT288" s="242" t="str">
        <f t="shared" si="39"/>
        <v>-</v>
      </c>
      <c r="AU288" s="686" t="str">
        <f t="shared" si="42"/>
        <v>#ERROR: Invalid ISIN  #ERROR: Invalid ISIN  #ERROR: Invalid ISIN</v>
      </c>
      <c r="AV288" s="702"/>
      <c r="AW288" s="684"/>
      <c r="AX288" s="684"/>
      <c r="AY288" s="684"/>
      <c r="AZ288" s="684"/>
      <c r="BA288" s="684"/>
      <c r="BC288" s="697"/>
      <c r="BE288" s="706">
        <f>_xll.xlDateShiftMonth(BE287,1)</f>
        <v>51619</v>
      </c>
      <c r="BF288" s="707">
        <v>2.836331321536965E-2</v>
      </c>
      <c r="BU288" s="133" t="s">
        <v>599</v>
      </c>
      <c r="BV288" s="133" t="s">
        <v>599</v>
      </c>
      <c r="BW288" s="133" t="s">
        <v>599</v>
      </c>
      <c r="BX288" s="133" t="s">
        <v>599</v>
      </c>
      <c r="BY288" s="133" t="s">
        <v>599</v>
      </c>
      <c r="BZ288" s="133" t="s">
        <v>599</v>
      </c>
      <c r="CA288" s="133" t="s">
        <v>599</v>
      </c>
      <c r="CB288" s="133" t="s">
        <v>599</v>
      </c>
      <c r="CC288" s="133" t="s">
        <v>599</v>
      </c>
      <c r="CD288" s="133" t="s">
        <v>599</v>
      </c>
      <c r="CE288" s="133" t="s">
        <v>599</v>
      </c>
      <c r="CF288" s="133" t="s">
        <v>599</v>
      </c>
    </row>
    <row r="289" spans="1:84">
      <c r="A289" s="10"/>
      <c r="B289" s="11"/>
      <c r="C289" s="12"/>
      <c r="D289" s="720">
        <f>MAX(_xll.xlDateSettle("TARGET",$D$4,2),L289)</f>
        <v>43179</v>
      </c>
      <c r="E289" s="718"/>
      <c r="F289" s="13" t="s">
        <v>1769</v>
      </c>
      <c r="G289" s="35" t="s">
        <v>1769</v>
      </c>
      <c r="H289" s="37" t="s">
        <v>1769</v>
      </c>
      <c r="I289" s="11" t="s">
        <v>1769</v>
      </c>
      <c r="J289" s="11" t="s">
        <v>1769</v>
      </c>
      <c r="K289" s="11" t="s">
        <v>1769</v>
      </c>
      <c r="L289" s="11" t="s">
        <v>1769</v>
      </c>
      <c r="M289" s="12" t="s">
        <v>1769</v>
      </c>
      <c r="N289" s="12" t="s">
        <v>1769</v>
      </c>
      <c r="O289" s="12" t="s">
        <v>1769</v>
      </c>
      <c r="P289" s="12" t="s">
        <v>1769</v>
      </c>
      <c r="Q289" s="15" t="s">
        <v>1769</v>
      </c>
      <c r="R289" s="12"/>
      <c r="S289" s="43" t="str">
        <f>_xll.RtGet("IDN",$X289,$S$9)</f>
        <v>#N/A The record could not be found</v>
      </c>
      <c r="T289" s="43" t="str">
        <f>_xll.RtGet("IDN",$X289,$T$9)</f>
        <v>#N/A The record could not be found</v>
      </c>
      <c r="U289" s="25" t="e">
        <f t="shared" si="40"/>
        <v>#DIV/0!</v>
      </c>
      <c r="V289" s="12"/>
      <c r="W289" s="25" t="e">
        <f t="shared" si="41"/>
        <v>#DIV/0!</v>
      </c>
      <c r="X289" s="14" t="str">
        <f t="shared" si="35"/>
        <v>=</v>
      </c>
      <c r="Y289" s="14"/>
      <c r="Z289" s="14"/>
      <c r="AA289" s="14"/>
      <c r="AB289" s="14"/>
      <c r="AC289" s="14"/>
      <c r="AD289" s="34" t="e">
        <f>IF(ISNUMBER($D289),_xll.xlBondYield($F289,$H289,$G289,$J289,$K289,$L289,$M289,$D289,$W289,IF(NOT($H289),TRUE,FALSE)),"")</f>
        <v>#NUM!</v>
      </c>
      <c r="AE289" s="12"/>
      <c r="AF289" s="12"/>
      <c r="AG289" s="12"/>
      <c r="AH289" s="14"/>
      <c r="AI289" s="14"/>
      <c r="AJ289" s="14"/>
      <c r="AK289" s="246" t="e">
        <f>IF(ISNUMBER($D289),_xll.xlBondAswSpread($F289&amp;T(TYPE($AV$1)),$H289,$G289,$J289,$K289,$L289,$M289,$D289,$W289,IF(NOT($H289),TRUE,FALSE),curveName,curveName,,,2),"")</f>
        <v>#NUM!</v>
      </c>
      <c r="AL289" s="213" t="e">
        <f>IF($W289&gt;0,_xll.xlBondZSpread(F289&amp;T(TYPE($AV$1)),H289,G289,J289,K289,L289,M289,D289,U289,"annual",5,IF(NOT($H289),TRUE,FALSE),curveName)*100,"")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4" t="str">
        <f>IF($AN$9+(($AL$9-$AM$9))*('DB Basis'!F449/10-'DB Basis'!E449),," ")</f>
        <v xml:space="preserve"> </v>
      </c>
      <c r="AO289" s="639" t="e">
        <f>IF(U289&gt;0,_xll.xlShmImplSwap2(curveName&amp;T(TYPE($AV$1)),curveName,D289,G289,,1,8,2,4),"")</f>
        <v>#DIV/0!</v>
      </c>
      <c r="AP289" s="640" t="str">
        <f t="shared" si="36"/>
        <v>-</v>
      </c>
      <c r="AQ289" s="386" t="str">
        <f t="shared" si="37"/>
        <v>-</v>
      </c>
      <c r="AR289" s="386" t="str">
        <f t="shared" si="38"/>
        <v>-</v>
      </c>
      <c r="AS289" s="388"/>
      <c r="AT289" s="242" t="str">
        <f t="shared" si="39"/>
        <v>-</v>
      </c>
      <c r="AU289" s="686" t="str">
        <f t="shared" si="42"/>
        <v>#ERROR: Invalid ISIN  #ERROR: Invalid ISIN  #ERROR: Invalid ISIN</v>
      </c>
      <c r="AV289" s="702"/>
      <c r="AW289" s="684"/>
      <c r="AX289" s="684"/>
      <c r="AY289" s="684"/>
      <c r="AZ289" s="684"/>
      <c r="BA289" s="684"/>
      <c r="BC289" s="697"/>
      <c r="BE289" s="706">
        <f>_xll.xlDateShiftMonth(BE288,1)</f>
        <v>51649</v>
      </c>
      <c r="BF289" s="707">
        <v>2.8422892857708437E-2</v>
      </c>
      <c r="BU289" s="133" t="s">
        <v>599</v>
      </c>
      <c r="BV289" s="133" t="s">
        <v>599</v>
      </c>
      <c r="BW289" s="133" t="s">
        <v>599</v>
      </c>
      <c r="BX289" s="133" t="s">
        <v>599</v>
      </c>
      <c r="BY289" s="133" t="s">
        <v>599</v>
      </c>
      <c r="BZ289" s="133" t="s">
        <v>599</v>
      </c>
      <c r="CA289" s="133" t="s">
        <v>599</v>
      </c>
      <c r="CB289" s="133" t="s">
        <v>599</v>
      </c>
      <c r="CC289" s="133" t="s">
        <v>599</v>
      </c>
      <c r="CD289" s="133" t="s">
        <v>599</v>
      </c>
      <c r="CE289" s="133" t="s">
        <v>599</v>
      </c>
      <c r="CF289" s="133" t="s">
        <v>599</v>
      </c>
    </row>
    <row r="290" spans="1:84">
      <c r="A290" s="10"/>
      <c r="B290" s="11"/>
      <c r="C290" s="12"/>
      <c r="D290" s="720">
        <f>MAX(_xll.xlDateSettle("TARGET",$D$4,2),L290)</f>
        <v>43179</v>
      </c>
      <c r="E290" s="718"/>
      <c r="F290" s="13" t="s">
        <v>1769</v>
      </c>
      <c r="G290" s="35" t="s">
        <v>1769</v>
      </c>
      <c r="H290" s="37" t="s">
        <v>1769</v>
      </c>
      <c r="I290" s="11" t="s">
        <v>1769</v>
      </c>
      <c r="J290" s="11" t="s">
        <v>1769</v>
      </c>
      <c r="K290" s="11" t="s">
        <v>1769</v>
      </c>
      <c r="L290" s="11" t="s">
        <v>1769</v>
      </c>
      <c r="M290" s="12" t="s">
        <v>1769</v>
      </c>
      <c r="N290" s="12" t="s">
        <v>1769</v>
      </c>
      <c r="O290" s="12" t="s">
        <v>1769</v>
      </c>
      <c r="P290" s="12" t="s">
        <v>1769</v>
      </c>
      <c r="Q290" s="15" t="s">
        <v>1769</v>
      </c>
      <c r="R290" s="12"/>
      <c r="S290" s="43" t="str">
        <f>_xll.RtGet("IDN",$X290,$S$9)</f>
        <v>#N/A The record could not be found</v>
      </c>
      <c r="T290" s="43" t="str">
        <f>_xll.RtGet("IDN",$X290,$T$9)</f>
        <v>#N/A The record could not be found</v>
      </c>
      <c r="U290" s="25" t="e">
        <f t="shared" si="40"/>
        <v>#DIV/0!</v>
      </c>
      <c r="V290" s="12"/>
      <c r="W290" s="25" t="e">
        <f t="shared" si="41"/>
        <v>#DIV/0!</v>
      </c>
      <c r="X290" s="14" t="str">
        <f t="shared" si="35"/>
        <v>=</v>
      </c>
      <c r="Y290" s="14"/>
      <c r="Z290" s="14"/>
      <c r="AA290" s="14"/>
      <c r="AB290" s="14"/>
      <c r="AC290" s="14"/>
      <c r="AD290" s="34" t="e">
        <f>IF(ISNUMBER($D290),_xll.xlBondYield($F290,$H290,$G290,$J290,$K290,$L290,$M290,$D290,$W290,IF(NOT($H290),TRUE,FALSE)),"")</f>
        <v>#NUM!</v>
      </c>
      <c r="AE290" s="12"/>
      <c r="AF290" s="12"/>
      <c r="AG290" s="12"/>
      <c r="AH290" s="14"/>
      <c r="AI290" s="14"/>
      <c r="AJ290" s="14"/>
      <c r="AK290" s="246" t="e">
        <f>IF(ISNUMBER($D290),_xll.xlBondAswSpread($F290&amp;T(TYPE($AV$1)),$H290,$G290,$J290,$K290,$L290,$M290,$D290,$W290,IF(NOT($H290),TRUE,FALSE),curveName,curveName,,,2),"")</f>
        <v>#NUM!</v>
      </c>
      <c r="AL290" s="213" t="e">
        <f>IF($W290&gt;0,_xll.xlBondZSpread(F290&amp;T(TYPE($AV$1)),H290,G290,J290,K290,L290,M290,D290,U290,"annual",5,IF(NOT($H290),TRUE,FALSE),curveName)*100,"")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4" t="str">
        <f>IF($AN$9+(($AL$9-$AM$9))*('DB Basis'!F450/10-'DB Basis'!E450),," ")</f>
        <v xml:space="preserve"> </v>
      </c>
      <c r="AO290" s="639" t="e">
        <f>IF(U290&gt;0,_xll.xlShmImplSwap2(curveName&amp;T(TYPE($AV$1)),curveName,D290,G290,,1,8,2,4),"")</f>
        <v>#DIV/0!</v>
      </c>
      <c r="AP290" s="640" t="str">
        <f t="shared" si="36"/>
        <v>-</v>
      </c>
      <c r="AQ290" s="386" t="str">
        <f t="shared" si="37"/>
        <v>-</v>
      </c>
      <c r="AR290" s="386" t="str">
        <f t="shared" si="38"/>
        <v>-</v>
      </c>
      <c r="AS290" s="388"/>
      <c r="AT290" s="242" t="str">
        <f t="shared" si="39"/>
        <v>-</v>
      </c>
      <c r="AU290" s="686" t="str">
        <f t="shared" si="42"/>
        <v>#ERROR: Invalid ISIN  #ERROR: Invalid ISIN  #ERROR: Invalid ISIN</v>
      </c>
      <c r="AV290" s="702"/>
      <c r="AW290" s="684"/>
      <c r="AX290" s="684"/>
      <c r="AY290" s="684"/>
      <c r="AZ290" s="684"/>
      <c r="BA290" s="684"/>
      <c r="BC290" s="697"/>
      <c r="BE290" s="706">
        <f>_xll.xlDateShiftMonth(BE289,1)</f>
        <v>51680</v>
      </c>
      <c r="BF290" s="707">
        <v>2.8485511518784777E-2</v>
      </c>
      <c r="BU290" s="133" t="s">
        <v>599</v>
      </c>
      <c r="BV290" s="133" t="s">
        <v>599</v>
      </c>
      <c r="BW290" s="133" t="s">
        <v>599</v>
      </c>
      <c r="BX290" s="133" t="s">
        <v>599</v>
      </c>
      <c r="BY290" s="133" t="s">
        <v>599</v>
      </c>
      <c r="BZ290" s="133" t="s">
        <v>599</v>
      </c>
      <c r="CA290" s="133" t="s">
        <v>599</v>
      </c>
      <c r="CB290" s="133" t="s">
        <v>599</v>
      </c>
      <c r="CC290" s="133" t="s">
        <v>599</v>
      </c>
      <c r="CD290" s="133" t="s">
        <v>599</v>
      </c>
      <c r="CE290" s="133" t="s">
        <v>599</v>
      </c>
      <c r="CF290" s="133" t="s">
        <v>599</v>
      </c>
    </row>
    <row r="291" spans="1:84">
      <c r="A291" s="10"/>
      <c r="B291" s="11"/>
      <c r="C291" s="12"/>
      <c r="D291" s="720">
        <f>MAX(_xll.xlDateSettle("TARGET",$D$4,2),L291)</f>
        <v>43179</v>
      </c>
      <c r="E291" s="718"/>
      <c r="F291" s="13" t="s">
        <v>1769</v>
      </c>
      <c r="G291" s="35" t="s">
        <v>1769</v>
      </c>
      <c r="H291" s="37" t="s">
        <v>1769</v>
      </c>
      <c r="I291" s="11" t="s">
        <v>1769</v>
      </c>
      <c r="J291" s="11" t="s">
        <v>1769</v>
      </c>
      <c r="K291" s="11" t="s">
        <v>1769</v>
      </c>
      <c r="L291" s="11" t="s">
        <v>1769</v>
      </c>
      <c r="M291" s="12" t="s">
        <v>1769</v>
      </c>
      <c r="N291" s="12" t="s">
        <v>1769</v>
      </c>
      <c r="O291" s="12" t="s">
        <v>1769</v>
      </c>
      <c r="P291" s="12" t="s">
        <v>1769</v>
      </c>
      <c r="Q291" s="15" t="s">
        <v>1769</v>
      </c>
      <c r="R291" s="12"/>
      <c r="S291" s="43" t="str">
        <f>_xll.RtGet("IDN",$X291,$S$9)</f>
        <v>#N/A The record could not be found</v>
      </c>
      <c r="T291" s="43" t="str">
        <f>_xll.RtGet("IDN",$X291,$T$9)</f>
        <v>#N/A The record could not be found</v>
      </c>
      <c r="U291" s="25" t="e">
        <f t="shared" si="40"/>
        <v>#DIV/0!</v>
      </c>
      <c r="V291" s="12"/>
      <c r="W291" s="25" t="e">
        <f t="shared" si="41"/>
        <v>#DIV/0!</v>
      </c>
      <c r="X291" s="14" t="str">
        <f t="shared" si="35"/>
        <v>=</v>
      </c>
      <c r="Y291" s="14"/>
      <c r="Z291" s="14"/>
      <c r="AA291" s="14"/>
      <c r="AB291" s="14"/>
      <c r="AC291" s="14"/>
      <c r="AD291" s="34" t="e">
        <f>IF(ISNUMBER($D291),_xll.xlBondYield($F291,$H291,$G291,$J291,$K291,$L291,$M291,$D291,$W291,IF(NOT($H291),TRUE,FALSE)),"")</f>
        <v>#NUM!</v>
      </c>
      <c r="AE291" s="12"/>
      <c r="AF291" s="12"/>
      <c r="AG291" s="12"/>
      <c r="AH291" s="14"/>
      <c r="AI291" s="14"/>
      <c r="AJ291" s="14"/>
      <c r="AK291" s="246" t="e">
        <f>IF(ISNUMBER($D291),_xll.xlBondAswSpread($F291&amp;T(TYPE($AV$1)),$H291,$G291,$J291,$K291,$L291,$M291,$D291,$W291,IF(NOT($H291),TRUE,FALSE),curveName,curveName,,,2),"")</f>
        <v>#NUM!</v>
      </c>
      <c r="AL291" s="213" t="e">
        <f>IF($W291&gt;0,_xll.xlBondZSpread(F291&amp;T(TYPE($AV$1)),H291,G291,J291,K291,L291,M291,D291,U291,"annual",5,IF(NOT($H291),TRUE,FALSE),curveName)*100,"")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4" t="str">
        <f>IF($AN$9+(($AL$9-$AM$9))*('DB Basis'!F451/10-'DB Basis'!E451),," ")</f>
        <v xml:space="preserve"> </v>
      </c>
      <c r="AO291" s="639" t="e">
        <f>IF(U291&gt;0,_xll.xlShmImplSwap2(curveName&amp;T(TYPE($AV$1)),curveName,D291,G291,,1,8,2,4),"")</f>
        <v>#DIV/0!</v>
      </c>
      <c r="AP291" s="640" t="str">
        <f t="shared" si="36"/>
        <v>-</v>
      </c>
      <c r="AQ291" s="386" t="str">
        <f t="shared" si="37"/>
        <v>-</v>
      </c>
      <c r="AR291" s="386" t="str">
        <f t="shared" si="38"/>
        <v>-</v>
      </c>
      <c r="AS291" s="388"/>
      <c r="AT291" s="242" t="str">
        <f t="shared" si="39"/>
        <v>-</v>
      </c>
      <c r="AU291" s="686" t="str">
        <f t="shared" si="42"/>
        <v>#ERROR: Invalid ISIN  #ERROR: Invalid ISIN  #ERROR: Invalid ISIN</v>
      </c>
      <c r="AV291" s="702"/>
      <c r="AW291" s="684"/>
      <c r="AX291" s="684"/>
      <c r="AY291" s="684"/>
      <c r="AZ291" s="684"/>
      <c r="BA291" s="684"/>
      <c r="BC291" s="697"/>
      <c r="BE291" s="706">
        <f>_xll.xlDateShiftMonth(BE290,1)</f>
        <v>51710</v>
      </c>
      <c r="BF291" s="707">
        <v>2.8547148882325624E-2</v>
      </c>
      <c r="BU291" s="133" t="s">
        <v>599</v>
      </c>
      <c r="BV291" s="133" t="s">
        <v>599</v>
      </c>
      <c r="BW291" s="133" t="s">
        <v>599</v>
      </c>
      <c r="BX291" s="133" t="s">
        <v>599</v>
      </c>
      <c r="BY291" s="133" t="s">
        <v>599</v>
      </c>
      <c r="BZ291" s="133" t="s">
        <v>599</v>
      </c>
      <c r="CA291" s="133" t="s">
        <v>599</v>
      </c>
      <c r="CB291" s="133" t="s">
        <v>599</v>
      </c>
      <c r="CC291" s="133" t="s">
        <v>599</v>
      </c>
      <c r="CD291" s="133" t="s">
        <v>599</v>
      </c>
      <c r="CE291" s="133" t="s">
        <v>599</v>
      </c>
      <c r="CF291" s="133" t="s">
        <v>599</v>
      </c>
    </row>
    <row r="292" spans="1:84">
      <c r="A292" s="10"/>
      <c r="B292" s="11"/>
      <c r="C292" s="12"/>
      <c r="D292" s="720">
        <f>MAX(_xll.xlDateSettle("TARGET",$D$4,2),L292)</f>
        <v>43179</v>
      </c>
      <c r="E292" s="718"/>
      <c r="F292" s="13" t="s">
        <v>1769</v>
      </c>
      <c r="G292" s="35" t="s">
        <v>1769</v>
      </c>
      <c r="H292" s="37" t="s">
        <v>1769</v>
      </c>
      <c r="I292" s="11" t="s">
        <v>1769</v>
      </c>
      <c r="J292" s="11" t="s">
        <v>1769</v>
      </c>
      <c r="K292" s="11" t="s">
        <v>1769</v>
      </c>
      <c r="L292" s="11" t="s">
        <v>1769</v>
      </c>
      <c r="M292" s="12" t="s">
        <v>1769</v>
      </c>
      <c r="N292" s="12" t="s">
        <v>1769</v>
      </c>
      <c r="O292" s="12" t="s">
        <v>1769</v>
      </c>
      <c r="P292" s="12" t="s">
        <v>1769</v>
      </c>
      <c r="Q292" s="15" t="s">
        <v>1769</v>
      </c>
      <c r="R292" s="12"/>
      <c r="S292" s="43" t="str">
        <f>_xll.RtGet("IDN",$X292,$S$9)</f>
        <v>#N/A The record could not be found</v>
      </c>
      <c r="T292" s="43" t="str">
        <f>_xll.RtGet("IDN",$X292,$T$9)</f>
        <v>#N/A The record could not be found</v>
      </c>
      <c r="U292" s="25" t="e">
        <f t="shared" si="40"/>
        <v>#DIV/0!</v>
      </c>
      <c r="V292" s="12"/>
      <c r="W292" s="25" t="e">
        <f t="shared" si="41"/>
        <v>#DIV/0!</v>
      </c>
      <c r="X292" s="14" t="str">
        <f t="shared" si="35"/>
        <v>=</v>
      </c>
      <c r="Y292" s="14"/>
      <c r="Z292" s="14"/>
      <c r="AA292" s="14"/>
      <c r="AB292" s="14"/>
      <c r="AC292" s="14"/>
      <c r="AD292" s="34" t="e">
        <f>IF(ISNUMBER($D292),_xll.xlBondYield($F292,$H292,$G292,$J292,$K292,$L292,$M292,$D292,$W292,IF(NOT($H292),TRUE,FALSE)),"")</f>
        <v>#NUM!</v>
      </c>
      <c r="AE292" s="12"/>
      <c r="AF292" s="12"/>
      <c r="AG292" s="12"/>
      <c r="AH292" s="14"/>
      <c r="AI292" s="14"/>
      <c r="AJ292" s="14"/>
      <c r="AK292" s="246" t="e">
        <f>IF(ISNUMBER($D292),_xll.xlBondAswSpread($F292&amp;T(TYPE($AV$1)),$H292,$G292,$J292,$K292,$L292,$M292,$D292,$W292,IF(NOT($H292),TRUE,FALSE),curveName,curveName,,,2),"")</f>
        <v>#NUM!</v>
      </c>
      <c r="AL292" s="213" t="e">
        <f>IF($W292&gt;0,_xll.xlBondZSpread(F292&amp;T(TYPE($AV$1)),H292,G292,J292,K292,L292,M292,D292,U292,"annual",5,IF(NOT($H292),TRUE,FALSE),curveName)*100,"")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4" t="str">
        <f>IF($AN$9+(($AL$9-$AM$9))*('DB Basis'!F452/10-'DB Basis'!E452),," ")</f>
        <v xml:space="preserve"> </v>
      </c>
      <c r="AO292" s="639" t="e">
        <f>IF(U292&gt;0,_xll.xlShmImplSwap2(curveName&amp;T(TYPE($AV$1)),curveName,D292,G292,,1,8,2,4),"")</f>
        <v>#DIV/0!</v>
      </c>
      <c r="AP292" s="640" t="str">
        <f t="shared" si="36"/>
        <v>-</v>
      </c>
      <c r="AQ292" s="386" t="str">
        <f t="shared" si="37"/>
        <v>-</v>
      </c>
      <c r="AR292" s="386" t="str">
        <f t="shared" si="38"/>
        <v>-</v>
      </c>
      <c r="AS292" s="388"/>
      <c r="AT292" s="242" t="str">
        <f t="shared" si="39"/>
        <v>-</v>
      </c>
      <c r="AU292" s="686" t="str">
        <f t="shared" si="42"/>
        <v>#ERROR: Invalid ISIN  #ERROR: Invalid ISIN  #ERROR: Invalid ISIN</v>
      </c>
      <c r="AV292" s="702"/>
      <c r="AW292" s="684"/>
      <c r="AX292" s="684"/>
      <c r="AY292" s="684"/>
      <c r="AZ292" s="684"/>
      <c r="BA292" s="684"/>
      <c r="BC292" s="697"/>
      <c r="BE292" s="706">
        <f>_xll.xlDateShiftMonth(BE291,1)</f>
        <v>51741</v>
      </c>
      <c r="BF292" s="707">
        <v>2.8611934579023921E-2</v>
      </c>
      <c r="BU292" s="133" t="s">
        <v>599</v>
      </c>
      <c r="BV292" s="133" t="s">
        <v>599</v>
      </c>
      <c r="BW292" s="133" t="s">
        <v>599</v>
      </c>
      <c r="BX292" s="133" t="s">
        <v>599</v>
      </c>
      <c r="BY292" s="133" t="s">
        <v>599</v>
      </c>
      <c r="BZ292" s="133" t="s">
        <v>599</v>
      </c>
      <c r="CA292" s="133" t="s">
        <v>599</v>
      </c>
      <c r="CB292" s="133" t="s">
        <v>599</v>
      </c>
      <c r="CC292" s="133" t="s">
        <v>599</v>
      </c>
      <c r="CD292" s="133" t="s">
        <v>599</v>
      </c>
      <c r="CE292" s="133" t="s">
        <v>599</v>
      </c>
      <c r="CF292" s="133" t="s">
        <v>599</v>
      </c>
    </row>
    <row r="293" spans="1:84">
      <c r="A293" s="10"/>
      <c r="B293" s="11"/>
      <c r="C293" s="12"/>
      <c r="D293" s="720">
        <f>MAX(_xll.xlDateSettle("TARGET",$D$4,2),L293)</f>
        <v>43179</v>
      </c>
      <c r="E293" s="718"/>
      <c r="F293" s="13" t="s">
        <v>1769</v>
      </c>
      <c r="G293" s="35" t="s">
        <v>1769</v>
      </c>
      <c r="H293" s="37" t="s">
        <v>1769</v>
      </c>
      <c r="I293" s="11" t="s">
        <v>1769</v>
      </c>
      <c r="J293" s="11" t="s">
        <v>1769</v>
      </c>
      <c r="K293" s="11" t="s">
        <v>1769</v>
      </c>
      <c r="L293" s="11" t="s">
        <v>1769</v>
      </c>
      <c r="M293" s="12" t="s">
        <v>1769</v>
      </c>
      <c r="N293" s="12" t="s">
        <v>1769</v>
      </c>
      <c r="O293" s="12" t="s">
        <v>1769</v>
      </c>
      <c r="P293" s="12" t="s">
        <v>1769</v>
      </c>
      <c r="Q293" s="15" t="s">
        <v>1769</v>
      </c>
      <c r="R293" s="12"/>
      <c r="S293" s="43" t="str">
        <f>_xll.RtGet("IDN",$X293,$S$9)</f>
        <v>#N/A The record could not be found</v>
      </c>
      <c r="T293" s="43" t="str">
        <f>_xll.RtGet("IDN",$X293,$T$9)</f>
        <v>#N/A The record could not be found</v>
      </c>
      <c r="U293" s="25" t="e">
        <f t="shared" si="40"/>
        <v>#DIV/0!</v>
      </c>
      <c r="V293" s="12"/>
      <c r="W293" s="25" t="e">
        <f t="shared" si="41"/>
        <v>#DIV/0!</v>
      </c>
      <c r="X293" s="14" t="str">
        <f t="shared" si="35"/>
        <v>=</v>
      </c>
      <c r="Y293" s="14"/>
      <c r="Z293" s="14"/>
      <c r="AA293" s="14"/>
      <c r="AB293" s="14"/>
      <c r="AC293" s="14"/>
      <c r="AD293" s="34" t="e">
        <f>IF(ISNUMBER($D293),_xll.xlBondYield($F293,$H293,$G293,$J293,$K293,$L293,$M293,$D293,$W293,IF(NOT($H293),TRUE,FALSE)),"")</f>
        <v>#NUM!</v>
      </c>
      <c r="AE293" s="12"/>
      <c r="AF293" s="12"/>
      <c r="AG293" s="12"/>
      <c r="AH293" s="14"/>
      <c r="AI293" s="14"/>
      <c r="AJ293" s="14"/>
      <c r="AK293" s="246" t="e">
        <f>IF(ISNUMBER($D293),_xll.xlBondAswSpread($F293&amp;T(TYPE($AV$1)),$H293,$G293,$J293,$K293,$L293,$M293,$D293,$W293,IF(NOT($H293),TRUE,FALSE),curveName,curveName,,,2),"")</f>
        <v>#NUM!</v>
      </c>
      <c r="AL293" s="213" t="e">
        <f>IF($W293&gt;0,_xll.xlBondZSpread(F293&amp;T(TYPE($AV$1)),H293,G293,J293,K293,L293,M293,D293,U293,"annual",5,IF(NOT($H293),TRUE,FALSE),curveName)*100,"")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4" t="str">
        <f>IF($AN$9+(($AL$9-$AM$9))*('DB Basis'!F453/10-'DB Basis'!E453),," ")</f>
        <v xml:space="preserve"> </v>
      </c>
      <c r="AO293" s="639" t="e">
        <f>IF(U293&gt;0,_xll.xlShmImplSwap2(curveName&amp;T(TYPE($AV$1)),curveName,D293,G293,,1,8,2,4),"")</f>
        <v>#DIV/0!</v>
      </c>
      <c r="AP293" s="640" t="str">
        <f t="shared" si="36"/>
        <v>-</v>
      </c>
      <c r="AQ293" s="386" t="str">
        <f t="shared" si="37"/>
        <v>-</v>
      </c>
      <c r="AR293" s="386" t="str">
        <f t="shared" si="38"/>
        <v>-</v>
      </c>
      <c r="AS293" s="388"/>
      <c r="AT293" s="242" t="str">
        <f t="shared" si="39"/>
        <v>-</v>
      </c>
      <c r="AU293" s="686" t="str">
        <f t="shared" si="42"/>
        <v>#ERROR: Invalid ISIN  #ERROR: Invalid ISIN  #ERROR: Invalid ISIN</v>
      </c>
      <c r="AV293" s="702"/>
      <c r="AW293" s="684"/>
      <c r="AX293" s="684"/>
      <c r="AY293" s="684"/>
      <c r="AZ293" s="684"/>
      <c r="BA293" s="684"/>
      <c r="BC293" s="697"/>
      <c r="BE293" s="706">
        <f>_xll.xlDateShiftMonth(BE292,1)</f>
        <v>51772</v>
      </c>
      <c r="BF293" s="707">
        <v>2.8677852769243065E-2</v>
      </c>
      <c r="BU293" s="133" t="s">
        <v>599</v>
      </c>
      <c r="BV293" s="133" t="s">
        <v>599</v>
      </c>
      <c r="BW293" s="133" t="s">
        <v>599</v>
      </c>
      <c r="BX293" s="133" t="s">
        <v>599</v>
      </c>
      <c r="BY293" s="133" t="s">
        <v>599</v>
      </c>
      <c r="BZ293" s="133" t="s">
        <v>599</v>
      </c>
      <c r="CA293" s="133" t="s">
        <v>599</v>
      </c>
      <c r="CB293" s="133" t="s">
        <v>599</v>
      </c>
      <c r="CC293" s="133" t="s">
        <v>599</v>
      </c>
      <c r="CD293" s="133" t="s">
        <v>599</v>
      </c>
      <c r="CE293" s="133" t="s">
        <v>599</v>
      </c>
      <c r="CF293" s="133" t="s">
        <v>599</v>
      </c>
    </row>
    <row r="294" spans="1:84">
      <c r="A294" s="10"/>
      <c r="B294" s="11"/>
      <c r="C294" s="12"/>
      <c r="D294" s="720">
        <f>MAX(_xll.xlDateSettle("TARGET",$D$4,2),L294)</f>
        <v>43179</v>
      </c>
      <c r="E294" s="718"/>
      <c r="F294" s="13" t="s">
        <v>1769</v>
      </c>
      <c r="G294" s="35" t="s">
        <v>1769</v>
      </c>
      <c r="H294" s="37" t="s">
        <v>1769</v>
      </c>
      <c r="I294" s="11" t="s">
        <v>1769</v>
      </c>
      <c r="J294" s="11" t="s">
        <v>1769</v>
      </c>
      <c r="K294" s="11" t="s">
        <v>1769</v>
      </c>
      <c r="L294" s="11" t="s">
        <v>1769</v>
      </c>
      <c r="M294" s="12" t="s">
        <v>1769</v>
      </c>
      <c r="N294" s="12" t="s">
        <v>1769</v>
      </c>
      <c r="O294" s="12" t="s">
        <v>1769</v>
      </c>
      <c r="P294" s="12" t="s">
        <v>1769</v>
      </c>
      <c r="Q294" s="15" t="s">
        <v>1769</v>
      </c>
      <c r="R294" s="12"/>
      <c r="S294" s="43" t="str">
        <f>_xll.RtGet("IDN",$X294,$S$9)</f>
        <v>#N/A The record could not be found</v>
      </c>
      <c r="T294" s="43" t="str">
        <f>_xll.RtGet("IDN",$X294,$T$9)</f>
        <v>#N/A The record could not be found</v>
      </c>
      <c r="U294" s="25" t="e">
        <f t="shared" si="40"/>
        <v>#DIV/0!</v>
      </c>
      <c r="V294" s="12"/>
      <c r="W294" s="25" t="e">
        <f t="shared" si="41"/>
        <v>#DIV/0!</v>
      </c>
      <c r="X294" s="14" t="str">
        <f t="shared" si="35"/>
        <v>=</v>
      </c>
      <c r="Y294" s="14"/>
      <c r="Z294" s="14"/>
      <c r="AA294" s="14"/>
      <c r="AB294" s="14"/>
      <c r="AC294" s="14"/>
      <c r="AD294" s="34" t="e">
        <f>IF(ISNUMBER($D294),_xll.xlBondYield($F294,$H294,$G294,$J294,$K294,$L294,$M294,$D294,$W294,IF(NOT($H294),TRUE,FALSE)),"")</f>
        <v>#NUM!</v>
      </c>
      <c r="AE294" s="12"/>
      <c r="AF294" s="12"/>
      <c r="AG294" s="12"/>
      <c r="AH294" s="14"/>
      <c r="AI294" s="14"/>
      <c r="AJ294" s="14"/>
      <c r="AK294" s="246" t="e">
        <f>IF(ISNUMBER($D294),_xll.xlBondAswSpread($F294&amp;T(TYPE($AV$1)),$H294,$G294,$J294,$K294,$L294,$M294,$D294,$W294,IF(NOT($H294),TRUE,FALSE),curveName,curveName,,,2),"")</f>
        <v>#NUM!</v>
      </c>
      <c r="AL294" s="213" t="e">
        <f>IF($W294&gt;0,_xll.xlBondZSpread(F294&amp;T(TYPE($AV$1)),H294,G294,J294,K294,L294,M294,D294,U294,"annual",5,IF(NOT($H294),TRUE,FALSE),curveName)*100,"")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4" t="str">
        <f>IF($AN$9+(($AL$9-$AM$9))*('DB Basis'!F454/10-'DB Basis'!E454),," ")</f>
        <v xml:space="preserve"> </v>
      </c>
      <c r="AO294" s="639" t="e">
        <f>IF(U294&gt;0,_xll.xlShmImplSwap2(curveName&amp;T(TYPE($AV$1)),curveName,D294,G294,,1,8,2,4),"")</f>
        <v>#DIV/0!</v>
      </c>
      <c r="AP294" s="640" t="str">
        <f t="shared" si="36"/>
        <v>-</v>
      </c>
      <c r="AQ294" s="386" t="str">
        <f t="shared" si="37"/>
        <v>-</v>
      </c>
      <c r="AR294" s="386" t="str">
        <f t="shared" si="38"/>
        <v>-</v>
      </c>
      <c r="AS294" s="388"/>
      <c r="AT294" s="242" t="str">
        <f t="shared" si="39"/>
        <v>-</v>
      </c>
      <c r="AU294" s="686" t="str">
        <f t="shared" si="42"/>
        <v>#ERROR: Invalid ISIN  #ERROR: Invalid ISIN  #ERROR: Invalid ISIN</v>
      </c>
      <c r="AV294" s="702"/>
      <c r="AW294" s="684"/>
      <c r="AX294" s="684"/>
      <c r="AY294" s="684"/>
      <c r="AZ294" s="684"/>
      <c r="BA294" s="684"/>
      <c r="BC294" s="697"/>
      <c r="BE294" s="706">
        <f>_xll.xlDateShiftMonth(BE293,1)</f>
        <v>51802</v>
      </c>
      <c r="BF294" s="707">
        <v>2.874274266360341E-2</v>
      </c>
      <c r="BU294" s="133" t="s">
        <v>599</v>
      </c>
      <c r="BV294" s="133" t="s">
        <v>599</v>
      </c>
      <c r="BW294" s="133" t="s">
        <v>599</v>
      </c>
      <c r="BX294" s="133" t="s">
        <v>599</v>
      </c>
      <c r="BY294" s="133" t="s">
        <v>599</v>
      </c>
      <c r="BZ294" s="133" t="s">
        <v>599</v>
      </c>
      <c r="CA294" s="133" t="s">
        <v>599</v>
      </c>
      <c r="CB294" s="133" t="s">
        <v>599</v>
      </c>
      <c r="CC294" s="133" t="s">
        <v>599</v>
      </c>
      <c r="CD294" s="133" t="s">
        <v>599</v>
      </c>
      <c r="CE294" s="133" t="s">
        <v>599</v>
      </c>
      <c r="CF294" s="133" t="s">
        <v>599</v>
      </c>
    </row>
    <row r="295" spans="1:84">
      <c r="A295" s="10"/>
      <c r="B295" s="11"/>
      <c r="C295" s="12"/>
      <c r="D295" s="720">
        <f>MAX(_xll.xlDateSettle("TARGET",$D$4,2),L295)</f>
        <v>43179</v>
      </c>
      <c r="E295" s="718"/>
      <c r="F295" s="13" t="s">
        <v>1769</v>
      </c>
      <c r="G295" s="35" t="s">
        <v>1769</v>
      </c>
      <c r="H295" s="37" t="s">
        <v>1769</v>
      </c>
      <c r="I295" s="11" t="s">
        <v>1769</v>
      </c>
      <c r="J295" s="11" t="s">
        <v>1769</v>
      </c>
      <c r="K295" s="11" t="s">
        <v>1769</v>
      </c>
      <c r="L295" s="11" t="s">
        <v>1769</v>
      </c>
      <c r="M295" s="12" t="s">
        <v>1769</v>
      </c>
      <c r="N295" s="12" t="s">
        <v>1769</v>
      </c>
      <c r="O295" s="12" t="s">
        <v>1769</v>
      </c>
      <c r="P295" s="12" t="s">
        <v>1769</v>
      </c>
      <c r="Q295" s="15" t="s">
        <v>1769</v>
      </c>
      <c r="R295" s="12"/>
      <c r="S295" s="43" t="str">
        <f>_xll.RtGet("IDN",$X295,$S$9)</f>
        <v>#N/A The record could not be found</v>
      </c>
      <c r="T295" s="43" t="str">
        <f>_xll.RtGet("IDN",$X295,$T$9)</f>
        <v>#N/A The record could not be found</v>
      </c>
      <c r="U295" s="25" t="e">
        <f t="shared" si="40"/>
        <v>#DIV/0!</v>
      </c>
      <c r="V295" s="12"/>
      <c r="W295" s="25" t="e">
        <f t="shared" si="41"/>
        <v>#DIV/0!</v>
      </c>
      <c r="X295" s="14" t="str">
        <f t="shared" si="35"/>
        <v>=</v>
      </c>
      <c r="Y295" s="14"/>
      <c r="Z295" s="14"/>
      <c r="AA295" s="14"/>
      <c r="AB295" s="14"/>
      <c r="AC295" s="14"/>
      <c r="AD295" s="34" t="e">
        <f>IF(ISNUMBER($D295),_xll.xlBondYield($F295,$H295,$G295,$J295,$K295,$L295,$M295,$D295,$W295,IF(NOT($H295),TRUE,FALSE)),"")</f>
        <v>#NUM!</v>
      </c>
      <c r="AE295" s="12"/>
      <c r="AF295" s="12"/>
      <c r="AG295" s="12"/>
      <c r="AH295" s="14"/>
      <c r="AI295" s="14"/>
      <c r="AJ295" s="14"/>
      <c r="AK295" s="246" t="e">
        <f>IF(ISNUMBER($D295),_xll.xlBondAswSpread($F295&amp;T(TYPE($AV$1)),$H295,$G295,$J295,$K295,$L295,$M295,$D295,$W295,IF(NOT($H295),TRUE,FALSE),curveName,curveName,,,2),"")</f>
        <v>#NUM!</v>
      </c>
      <c r="AL295" s="213" t="e">
        <f>IF($W295&gt;0,_xll.xlBondZSpread(F295&amp;T(TYPE($AV$1)),H295,G295,J295,K295,L295,M295,D295,U295,"annual",5,IF(NOT($H295),TRUE,FALSE),curveName)*100,"")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4" t="str">
        <f>IF($AN$9+(($AL$9-$AM$9))*('DB Basis'!F455/10-'DB Basis'!E455),," ")</f>
        <v xml:space="preserve"> </v>
      </c>
      <c r="AO295" s="639" t="e">
        <f>IF(U295&gt;0,_xll.xlShmImplSwap2(curveName&amp;T(TYPE($AV$1)),curveName,D295,G295,,1,8,2,4),"")</f>
        <v>#DIV/0!</v>
      </c>
      <c r="AP295" s="640" t="str">
        <f t="shared" si="36"/>
        <v>-</v>
      </c>
      <c r="AQ295" s="386" t="str">
        <f t="shared" si="37"/>
        <v>-</v>
      </c>
      <c r="AR295" s="386" t="str">
        <f t="shared" si="38"/>
        <v>-</v>
      </c>
      <c r="AS295" s="388"/>
      <c r="AT295" s="242" t="str">
        <f t="shared" si="39"/>
        <v>-</v>
      </c>
      <c r="AU295" s="686" t="str">
        <f t="shared" si="42"/>
        <v>#ERROR: Invalid ISIN  #ERROR: Invalid ISIN  #ERROR: Invalid ISIN</v>
      </c>
      <c r="AV295" s="702"/>
      <c r="AW295" s="684"/>
      <c r="AX295" s="684"/>
      <c r="AY295" s="684"/>
      <c r="AZ295" s="684"/>
      <c r="BA295" s="684"/>
      <c r="BC295" s="697"/>
      <c r="BE295" s="706">
        <f>_xll.xlDateShiftMonth(BE294,1)</f>
        <v>51833</v>
      </c>
      <c r="BF295" s="707">
        <v>2.8810950728185868E-2</v>
      </c>
      <c r="BU295" s="133" t="s">
        <v>599</v>
      </c>
      <c r="BV295" s="133" t="s">
        <v>599</v>
      </c>
      <c r="BW295" s="133" t="s">
        <v>599</v>
      </c>
      <c r="BX295" s="133" t="s">
        <v>599</v>
      </c>
      <c r="BY295" s="133" t="s">
        <v>599</v>
      </c>
      <c r="BZ295" s="133" t="s">
        <v>599</v>
      </c>
      <c r="CA295" s="133" t="s">
        <v>599</v>
      </c>
      <c r="CB295" s="133" t="s">
        <v>599</v>
      </c>
      <c r="CC295" s="133" t="s">
        <v>599</v>
      </c>
      <c r="CD295" s="133" t="s">
        <v>599</v>
      </c>
      <c r="CE295" s="133" t="s">
        <v>599</v>
      </c>
      <c r="CF295" s="133" t="s">
        <v>599</v>
      </c>
    </row>
    <row r="296" spans="1:84">
      <c r="A296" s="10"/>
      <c r="B296" s="11"/>
      <c r="C296" s="12"/>
      <c r="D296" s="720">
        <f>MAX(_xll.xlDateSettle("TARGET",$D$4,2),L296)</f>
        <v>43179</v>
      </c>
      <c r="E296" s="718"/>
      <c r="F296" s="13" t="s">
        <v>1769</v>
      </c>
      <c r="G296" s="35" t="s">
        <v>1769</v>
      </c>
      <c r="H296" s="37" t="s">
        <v>1769</v>
      </c>
      <c r="I296" s="11" t="s">
        <v>1769</v>
      </c>
      <c r="J296" s="11" t="s">
        <v>1769</v>
      </c>
      <c r="K296" s="11" t="s">
        <v>1769</v>
      </c>
      <c r="L296" s="11" t="s">
        <v>1769</v>
      </c>
      <c r="M296" s="12" t="s">
        <v>1769</v>
      </c>
      <c r="N296" s="12" t="s">
        <v>1769</v>
      </c>
      <c r="O296" s="12" t="s">
        <v>1769</v>
      </c>
      <c r="P296" s="12" t="s">
        <v>1769</v>
      </c>
      <c r="Q296" s="15" t="s">
        <v>1769</v>
      </c>
      <c r="R296" s="12"/>
      <c r="S296" s="43" t="str">
        <f>_xll.RtGet("IDN",$X296,$S$9)</f>
        <v>#N/A The record could not be found</v>
      </c>
      <c r="T296" s="43" t="str">
        <f>_xll.RtGet("IDN",$X296,$T$9)</f>
        <v>#N/A The record could not be found</v>
      </c>
      <c r="U296" s="25" t="e">
        <f t="shared" si="40"/>
        <v>#DIV/0!</v>
      </c>
      <c r="V296" s="12"/>
      <c r="W296" s="25" t="e">
        <f t="shared" si="41"/>
        <v>#DIV/0!</v>
      </c>
      <c r="X296" s="14" t="str">
        <f t="shared" si="35"/>
        <v>=</v>
      </c>
      <c r="Y296" s="14"/>
      <c r="Z296" s="14"/>
      <c r="AA296" s="14"/>
      <c r="AB296" s="14"/>
      <c r="AC296" s="14"/>
      <c r="AD296" s="34" t="e">
        <f>IF(ISNUMBER($D296),_xll.xlBondYield($F296,$H296,$G296,$J296,$K296,$L296,$M296,$D296,$W296,IF(NOT($H296),TRUE,FALSE)),"")</f>
        <v>#NUM!</v>
      </c>
      <c r="AE296" s="12"/>
      <c r="AF296" s="12"/>
      <c r="AG296" s="12"/>
      <c r="AH296" s="14"/>
      <c r="AI296" s="14"/>
      <c r="AJ296" s="14"/>
      <c r="AK296" s="246" t="e">
        <f>IF(ISNUMBER($D296),_xll.xlBondAswSpread($F296&amp;T(TYPE($AV$1)),$H296,$G296,$J296,$K296,$L296,$M296,$D296,$W296,IF(NOT($H296),TRUE,FALSE),curveName,curveName,,,2),"")</f>
        <v>#NUM!</v>
      </c>
      <c r="AL296" s="213" t="e">
        <f>IF($W296&gt;0,_xll.xlBondZSpread(F296&amp;T(TYPE($AV$1)),H296,G296,J296,K296,L296,M296,D296,U296,"annual",5,IF(NOT($H296),TRUE,FALSE),curveName)*100,"")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4" t="str">
        <f>IF($AN$9+(($AL$9-$AM$9))*('DB Basis'!F456/10-'DB Basis'!E456),," ")</f>
        <v xml:space="preserve"> </v>
      </c>
      <c r="AO296" s="639" t="e">
        <f>IF(U296&gt;0,_xll.xlShmImplSwap2(curveName&amp;T(TYPE($AV$1)),curveName,D296,G296,,1,8,2,4),"")</f>
        <v>#DIV/0!</v>
      </c>
      <c r="AP296" s="640" t="str">
        <f t="shared" si="36"/>
        <v>-</v>
      </c>
      <c r="AQ296" s="386" t="str">
        <f t="shared" si="37"/>
        <v>-</v>
      </c>
      <c r="AR296" s="386" t="str">
        <f t="shared" si="38"/>
        <v>-</v>
      </c>
      <c r="AS296" s="388"/>
      <c r="AT296" s="242" t="str">
        <f t="shared" si="39"/>
        <v>-</v>
      </c>
      <c r="AU296" s="686" t="str">
        <f t="shared" si="42"/>
        <v>#ERROR: Invalid ISIN  #ERROR: Invalid ISIN  #ERROR: Invalid ISIN</v>
      </c>
      <c r="AV296" s="702"/>
      <c r="AW296" s="684"/>
      <c r="AX296" s="684"/>
      <c r="AY296" s="684"/>
      <c r="AZ296" s="684"/>
      <c r="BA296" s="684"/>
      <c r="BC296" s="697"/>
      <c r="BE296" s="706">
        <f>_xll.xlDateShiftMonth(BE295,1)</f>
        <v>51863</v>
      </c>
      <c r="BF296" s="707">
        <v>2.8878096040039578E-2</v>
      </c>
      <c r="BU296" s="133" t="s">
        <v>599</v>
      </c>
      <c r="BV296" s="133" t="s">
        <v>599</v>
      </c>
      <c r="BW296" s="133" t="s">
        <v>599</v>
      </c>
      <c r="BX296" s="133" t="s">
        <v>599</v>
      </c>
      <c r="BY296" s="133" t="s">
        <v>599</v>
      </c>
      <c r="BZ296" s="133" t="s">
        <v>599</v>
      </c>
      <c r="CA296" s="133" t="s">
        <v>599</v>
      </c>
      <c r="CB296" s="133" t="s">
        <v>599</v>
      </c>
      <c r="CC296" s="133" t="s">
        <v>599</v>
      </c>
      <c r="CD296" s="133" t="s">
        <v>599</v>
      </c>
      <c r="CE296" s="133" t="s">
        <v>599</v>
      </c>
      <c r="CF296" s="133" t="s">
        <v>599</v>
      </c>
    </row>
    <row r="297" spans="1:84">
      <c r="A297" s="10"/>
      <c r="B297" s="11"/>
      <c r="C297" s="12"/>
      <c r="D297" s="720">
        <f>MAX(_xll.xlDateSettle("TARGET",$D$4,2),L297)</f>
        <v>43179</v>
      </c>
      <c r="E297" s="718"/>
      <c r="F297" s="13" t="s">
        <v>1769</v>
      </c>
      <c r="G297" s="35" t="s">
        <v>1769</v>
      </c>
      <c r="H297" s="37" t="s">
        <v>1769</v>
      </c>
      <c r="I297" s="11" t="s">
        <v>1769</v>
      </c>
      <c r="J297" s="11" t="s">
        <v>1769</v>
      </c>
      <c r="K297" s="11" t="s">
        <v>1769</v>
      </c>
      <c r="L297" s="11" t="s">
        <v>1769</v>
      </c>
      <c r="M297" s="12" t="s">
        <v>1769</v>
      </c>
      <c r="N297" s="12" t="s">
        <v>1769</v>
      </c>
      <c r="O297" s="12" t="s">
        <v>1769</v>
      </c>
      <c r="P297" s="12" t="s">
        <v>1769</v>
      </c>
      <c r="Q297" s="15" t="s">
        <v>1769</v>
      </c>
      <c r="R297" s="12"/>
      <c r="S297" s="43" t="str">
        <f>_xll.RtGet("IDN",$X297,$S$9)</f>
        <v>#N/A The record could not be found</v>
      </c>
      <c r="T297" s="43" t="str">
        <f>_xll.RtGet("IDN",$X297,$T$9)</f>
        <v>#N/A The record could not be found</v>
      </c>
      <c r="U297" s="25" t="e">
        <f t="shared" si="40"/>
        <v>#DIV/0!</v>
      </c>
      <c r="V297" s="12"/>
      <c r="W297" s="25" t="e">
        <f t="shared" si="41"/>
        <v>#DIV/0!</v>
      </c>
      <c r="X297" s="14" t="str">
        <f t="shared" si="35"/>
        <v>=</v>
      </c>
      <c r="Y297" s="14"/>
      <c r="Z297" s="14"/>
      <c r="AA297" s="14"/>
      <c r="AB297" s="14"/>
      <c r="AC297" s="14"/>
      <c r="AD297" s="34" t="e">
        <f>IF(ISNUMBER($D297),_xll.xlBondYield($F297,$H297,$G297,$J297,$K297,$L297,$M297,$D297,$W297,IF(NOT($H297),TRUE,FALSE)),"")</f>
        <v>#NUM!</v>
      </c>
      <c r="AE297" s="12"/>
      <c r="AF297" s="12"/>
      <c r="AG297" s="12"/>
      <c r="AH297" s="14"/>
      <c r="AI297" s="14"/>
      <c r="AJ297" s="14"/>
      <c r="AK297" s="246" t="e">
        <f>IF(ISNUMBER($D297),_xll.xlBondAswSpread($F297&amp;T(TYPE($AV$1)),$H297,$G297,$J297,$K297,$L297,$M297,$D297,$W297,IF(NOT($H297),TRUE,FALSE),curveName,curveName,,,2),"")</f>
        <v>#NUM!</v>
      </c>
      <c r="AL297" s="213" t="e">
        <f>IF($W297&gt;0,_xll.xlBondZSpread(F297&amp;T(TYPE($AV$1)),H297,G297,J297,K297,L297,M297,D297,U297,"annual",5,IF(NOT($H297),TRUE,FALSE),curveName)*100,"")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4" t="str">
        <f>IF($AN$9+(($AL$9-$AM$9))*('DB Basis'!F457/10-'DB Basis'!E457),," ")</f>
        <v xml:space="preserve"> </v>
      </c>
      <c r="AO297" s="639" t="e">
        <f>IF(U297&gt;0,_xll.xlShmImplSwap2(curveName&amp;T(TYPE($AV$1)),curveName,D297,G297,,1,8,2,4),"")</f>
        <v>#DIV/0!</v>
      </c>
      <c r="AP297" s="640" t="str">
        <f t="shared" si="36"/>
        <v>-</v>
      </c>
      <c r="AQ297" s="386" t="str">
        <f t="shared" si="37"/>
        <v>-</v>
      </c>
      <c r="AR297" s="386" t="str">
        <f t="shared" si="38"/>
        <v>-</v>
      </c>
      <c r="AS297" s="388"/>
      <c r="AT297" s="242" t="str">
        <f t="shared" si="39"/>
        <v>-</v>
      </c>
      <c r="AU297" s="686" t="str">
        <f t="shared" si="42"/>
        <v>#ERROR: Invalid ISIN  #ERROR: Invalid ISIN  #ERROR: Invalid ISIN</v>
      </c>
      <c r="AV297" s="702"/>
      <c r="AW297" s="684"/>
      <c r="AX297" s="684"/>
      <c r="AY297" s="684"/>
      <c r="AZ297" s="684"/>
      <c r="BA297" s="684"/>
      <c r="BC297" s="697"/>
      <c r="BE297" s="706">
        <f>_xll.xlDateShiftMonth(BE296,1)</f>
        <v>51894</v>
      </c>
      <c r="BF297" s="707">
        <v>2.8948675426411684E-2</v>
      </c>
      <c r="BU297" s="133" t="s">
        <v>599</v>
      </c>
      <c r="BV297" s="133" t="s">
        <v>599</v>
      </c>
      <c r="BW297" s="133" t="s">
        <v>599</v>
      </c>
      <c r="BX297" s="133" t="s">
        <v>599</v>
      </c>
      <c r="BY297" s="133" t="s">
        <v>599</v>
      </c>
      <c r="BZ297" s="133" t="s">
        <v>599</v>
      </c>
      <c r="CA297" s="133" t="s">
        <v>599</v>
      </c>
      <c r="CB297" s="133" t="s">
        <v>599</v>
      </c>
      <c r="CC297" s="133" t="s">
        <v>599</v>
      </c>
      <c r="CD297" s="133" t="s">
        <v>599</v>
      </c>
      <c r="CE297" s="133" t="s">
        <v>599</v>
      </c>
      <c r="CF297" s="133" t="s">
        <v>599</v>
      </c>
    </row>
    <row r="298" spans="1:84">
      <c r="A298" s="10"/>
      <c r="B298" s="11"/>
      <c r="C298" s="12"/>
      <c r="D298" s="720">
        <f>MAX(_xll.xlDateSettle("TARGET",$D$4,2),L298)</f>
        <v>43179</v>
      </c>
      <c r="E298" s="718"/>
      <c r="F298" s="13" t="s">
        <v>1769</v>
      </c>
      <c r="G298" s="35" t="s">
        <v>1769</v>
      </c>
      <c r="H298" s="37" t="s">
        <v>1769</v>
      </c>
      <c r="I298" s="11" t="s">
        <v>1769</v>
      </c>
      <c r="J298" s="11" t="s">
        <v>1769</v>
      </c>
      <c r="K298" s="11" t="s">
        <v>1769</v>
      </c>
      <c r="L298" s="11" t="s">
        <v>1769</v>
      </c>
      <c r="M298" s="12" t="s">
        <v>1769</v>
      </c>
      <c r="N298" s="12" t="s">
        <v>1769</v>
      </c>
      <c r="O298" s="12" t="s">
        <v>1769</v>
      </c>
      <c r="P298" s="12" t="s">
        <v>1769</v>
      </c>
      <c r="Q298" s="15" t="s">
        <v>1769</v>
      </c>
      <c r="R298" s="12"/>
      <c r="S298" s="43" t="str">
        <f>_xll.RtGet("IDN",$X298,$S$9)</f>
        <v>#N/A The record could not be found</v>
      </c>
      <c r="T298" s="43" t="str">
        <f>_xll.RtGet("IDN",$X298,$T$9)</f>
        <v>#N/A The record could not be found</v>
      </c>
      <c r="U298" s="25" t="e">
        <f t="shared" si="40"/>
        <v>#DIV/0!</v>
      </c>
      <c r="V298" s="12"/>
      <c r="W298" s="25" t="e">
        <f t="shared" si="41"/>
        <v>#DIV/0!</v>
      </c>
      <c r="X298" s="14" t="str">
        <f t="shared" si="35"/>
        <v>=</v>
      </c>
      <c r="Y298" s="14"/>
      <c r="Z298" s="14"/>
      <c r="AA298" s="14"/>
      <c r="AB298" s="14"/>
      <c r="AC298" s="14"/>
      <c r="AD298" s="34" t="e">
        <f>IF(ISNUMBER($D298),_xll.xlBondYield($F298,$H298,$G298,$J298,$K298,$L298,$M298,$D298,$W298,IF(NOT($H298),TRUE,FALSE)),"")</f>
        <v>#NUM!</v>
      </c>
      <c r="AE298" s="12"/>
      <c r="AF298" s="12"/>
      <c r="AG298" s="12"/>
      <c r="AH298" s="14"/>
      <c r="AI298" s="14"/>
      <c r="AJ298" s="14"/>
      <c r="AK298" s="246" t="e">
        <f>IF(ISNUMBER($D298),_xll.xlBondAswSpread($F298&amp;T(TYPE($AV$1)),$H298,$G298,$J298,$K298,$L298,$M298,$D298,$W298,IF(NOT($H298),TRUE,FALSE),curveName,curveName,,,2),"")</f>
        <v>#NUM!</v>
      </c>
      <c r="AL298" s="213" t="e">
        <f>IF($W298&gt;0,_xll.xlBondZSpread(F298&amp;T(TYPE($AV$1)),H298,G298,J298,K298,L298,M298,D298,U298,"annual",5,IF(NOT($H298),TRUE,FALSE),curveName)*100,"")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4" t="str">
        <f>IF($AN$9+(($AL$9-$AM$9))*('DB Basis'!F458/10-'DB Basis'!E458),," ")</f>
        <v xml:space="preserve"> </v>
      </c>
      <c r="AO298" s="639" t="e">
        <f>IF(U298&gt;0,_xll.xlShmImplSwap2(curveName&amp;T(TYPE($AV$1)),curveName,D298,G298,,1,8,2,4),"")</f>
        <v>#DIV/0!</v>
      </c>
      <c r="AP298" s="640" t="str">
        <f t="shared" si="36"/>
        <v>-</v>
      </c>
      <c r="AQ298" s="386" t="str">
        <f t="shared" si="37"/>
        <v>-</v>
      </c>
      <c r="AR298" s="386" t="str">
        <f t="shared" si="38"/>
        <v>-</v>
      </c>
      <c r="AS298" s="388"/>
      <c r="AT298" s="242" t="str">
        <f t="shared" si="39"/>
        <v>-</v>
      </c>
      <c r="AU298" s="686" t="str">
        <f t="shared" si="42"/>
        <v>#ERROR: Invalid ISIN  #ERROR: Invalid ISIN  #ERROR: Invalid ISIN</v>
      </c>
      <c r="AV298" s="702"/>
      <c r="AW298" s="684"/>
      <c r="AX298" s="684"/>
      <c r="AY298" s="684"/>
      <c r="AZ298" s="684"/>
      <c r="BA298" s="684"/>
      <c r="BC298" s="697"/>
      <c r="BE298" s="706">
        <f>_xll.xlDateShiftMonth(BE297,1)</f>
        <v>51925</v>
      </c>
      <c r="BF298" s="707">
        <v>2.9020491123865264E-2</v>
      </c>
      <c r="BU298" s="133" t="s">
        <v>599</v>
      </c>
      <c r="BV298" s="133" t="s">
        <v>599</v>
      </c>
      <c r="BW298" s="133" t="s">
        <v>599</v>
      </c>
      <c r="BX298" s="133" t="s">
        <v>599</v>
      </c>
      <c r="BY298" s="133" t="s">
        <v>599</v>
      </c>
      <c r="BZ298" s="133" t="s">
        <v>599</v>
      </c>
      <c r="CA298" s="133" t="s">
        <v>599</v>
      </c>
      <c r="CB298" s="133" t="s">
        <v>599</v>
      </c>
      <c r="CC298" s="133" t="s">
        <v>599</v>
      </c>
      <c r="CD298" s="133" t="s">
        <v>599</v>
      </c>
      <c r="CE298" s="133" t="s">
        <v>599</v>
      </c>
      <c r="CF298" s="133" t="s">
        <v>599</v>
      </c>
    </row>
    <row r="299" spans="1:84">
      <c r="A299" s="10"/>
      <c r="B299" s="11"/>
      <c r="C299" s="12"/>
      <c r="D299" s="720">
        <f>MAX(_xll.xlDateSettle("TARGET",$D$4,2),L299)</f>
        <v>43179</v>
      </c>
      <c r="E299" s="718"/>
      <c r="F299" s="13" t="s">
        <v>1769</v>
      </c>
      <c r="G299" s="35" t="s">
        <v>1769</v>
      </c>
      <c r="H299" s="37" t="s">
        <v>1769</v>
      </c>
      <c r="I299" s="11" t="s">
        <v>1769</v>
      </c>
      <c r="J299" s="11" t="s">
        <v>1769</v>
      </c>
      <c r="K299" s="11" t="s">
        <v>1769</v>
      </c>
      <c r="L299" s="11" t="s">
        <v>1769</v>
      </c>
      <c r="M299" s="12" t="s">
        <v>1769</v>
      </c>
      <c r="N299" s="12" t="s">
        <v>1769</v>
      </c>
      <c r="O299" s="12" t="s">
        <v>1769</v>
      </c>
      <c r="P299" s="12" t="s">
        <v>1769</v>
      </c>
      <c r="Q299" s="15" t="s">
        <v>1769</v>
      </c>
      <c r="R299" s="12"/>
      <c r="S299" s="43" t="str">
        <f>_xll.RtGet("IDN",$X299,$S$9)</f>
        <v>#N/A The record could not be found</v>
      </c>
      <c r="T299" s="43" t="str">
        <f>_xll.RtGet("IDN",$X299,$T$9)</f>
        <v>#N/A The record could not be found</v>
      </c>
      <c r="U299" s="25" t="e">
        <f t="shared" si="40"/>
        <v>#DIV/0!</v>
      </c>
      <c r="V299" s="12"/>
      <c r="W299" s="25" t="e">
        <f t="shared" si="41"/>
        <v>#DIV/0!</v>
      </c>
      <c r="X299" s="14" t="str">
        <f t="shared" si="35"/>
        <v>=</v>
      </c>
      <c r="Y299" s="14"/>
      <c r="Z299" s="14"/>
      <c r="AA299" s="14"/>
      <c r="AB299" s="14"/>
      <c r="AC299" s="14"/>
      <c r="AD299" s="34" t="e">
        <f>IF(ISNUMBER($D299),_xll.xlBondYield($F299,$H299,$G299,$J299,$K299,$L299,$M299,$D299,$W299,IF(NOT($H299),TRUE,FALSE)),"")</f>
        <v>#NUM!</v>
      </c>
      <c r="AE299" s="12"/>
      <c r="AF299" s="12"/>
      <c r="AG299" s="12"/>
      <c r="AH299" s="14"/>
      <c r="AI299" s="14"/>
      <c r="AJ299" s="14"/>
      <c r="AK299" s="246" t="e">
        <f>IF(ISNUMBER($D299),_xll.xlBondAswSpread($F299&amp;T(TYPE($AV$1)),$H299,$G299,$J299,$K299,$L299,$M299,$D299,$W299,IF(NOT($H299),TRUE,FALSE),curveName,curveName,,,2),"")</f>
        <v>#NUM!</v>
      </c>
      <c r="AL299" s="213" t="e">
        <f>IF($W299&gt;0,_xll.xlBondZSpread(F299&amp;T(TYPE($AV$1)),H299,G299,J299,K299,L299,M299,D299,U299,"annual",5,IF(NOT($H299),TRUE,FALSE),curveName)*100,"")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4" t="str">
        <f>IF($AN$9+(($AL$9-$AM$9))*('DB Basis'!F459/10-'DB Basis'!E459),," ")</f>
        <v xml:space="preserve"> </v>
      </c>
      <c r="AO299" s="639" t="e">
        <f>IF(U299&gt;0,_xll.xlShmImplSwap2(curveName&amp;T(TYPE($AV$1)),curveName,D299,G299,,1,8,2,4),"")</f>
        <v>#DIV/0!</v>
      </c>
      <c r="AP299" s="640" t="str">
        <f t="shared" si="36"/>
        <v>-</v>
      </c>
      <c r="AQ299" s="386" t="str">
        <f t="shared" si="37"/>
        <v>-</v>
      </c>
      <c r="AR299" s="386" t="str">
        <f t="shared" si="38"/>
        <v>-</v>
      </c>
      <c r="AS299" s="388"/>
      <c r="AT299" s="242" t="str">
        <f t="shared" si="39"/>
        <v>-</v>
      </c>
      <c r="AU299" s="686" t="str">
        <f t="shared" si="42"/>
        <v>#ERROR: Invalid ISIN  #ERROR: Invalid ISIN  #ERROR: Invalid ISIN</v>
      </c>
      <c r="AV299" s="702"/>
      <c r="AW299" s="684"/>
      <c r="AX299" s="684"/>
      <c r="AY299" s="684"/>
      <c r="AZ299" s="684"/>
      <c r="BA299" s="684"/>
      <c r="BC299" s="697"/>
      <c r="BE299" s="706">
        <f>_xll.xlDateShiftMonth(BE298,1)</f>
        <v>51953</v>
      </c>
      <c r="BF299" s="707">
        <v>2.9086437047607779E-2</v>
      </c>
      <c r="BU299" s="133" t="s">
        <v>599</v>
      </c>
      <c r="BV299" s="133" t="s">
        <v>599</v>
      </c>
      <c r="BW299" s="133" t="s">
        <v>599</v>
      </c>
      <c r="BX299" s="133" t="s">
        <v>599</v>
      </c>
      <c r="BY299" s="133" t="s">
        <v>599</v>
      </c>
      <c r="BZ299" s="133" t="s">
        <v>599</v>
      </c>
      <c r="CA299" s="133" t="s">
        <v>599</v>
      </c>
      <c r="CB299" s="133" t="s">
        <v>599</v>
      </c>
      <c r="CC299" s="133" t="s">
        <v>599</v>
      </c>
      <c r="CD299" s="133" t="s">
        <v>599</v>
      </c>
      <c r="CE299" s="133" t="s">
        <v>599</v>
      </c>
      <c r="CF299" s="133" t="s">
        <v>599</v>
      </c>
    </row>
    <row r="300" spans="1:84">
      <c r="A300" s="10"/>
      <c r="B300" s="11"/>
      <c r="C300" s="12"/>
      <c r="D300" s="720">
        <f>MAX(_xll.xlDateSettle("TARGET",$D$4,2),L300)</f>
        <v>43179</v>
      </c>
      <c r="E300" s="718"/>
      <c r="F300" s="13" t="s">
        <v>1769</v>
      </c>
      <c r="G300" s="35" t="s">
        <v>1769</v>
      </c>
      <c r="H300" s="37" t="s">
        <v>1769</v>
      </c>
      <c r="I300" s="11" t="s">
        <v>1769</v>
      </c>
      <c r="J300" s="11" t="s">
        <v>1769</v>
      </c>
      <c r="K300" s="11" t="s">
        <v>1769</v>
      </c>
      <c r="L300" s="11" t="s">
        <v>1769</v>
      </c>
      <c r="M300" s="12" t="s">
        <v>1769</v>
      </c>
      <c r="N300" s="12" t="s">
        <v>1769</v>
      </c>
      <c r="O300" s="12" t="s">
        <v>1769</v>
      </c>
      <c r="P300" s="12" t="s">
        <v>1769</v>
      </c>
      <c r="Q300" s="15" t="s">
        <v>1769</v>
      </c>
      <c r="R300" s="12"/>
      <c r="S300" s="43" t="str">
        <f>_xll.RtGet("IDN",$X300,$S$9)</f>
        <v>#N/A The record could not be found</v>
      </c>
      <c r="T300" s="43" t="str">
        <f>_xll.RtGet("IDN",$X300,$T$9)</f>
        <v>#N/A The record could not be found</v>
      </c>
      <c r="U300" s="25" t="e">
        <f t="shared" si="40"/>
        <v>#DIV/0!</v>
      </c>
      <c r="V300" s="12"/>
      <c r="W300" s="25" t="e">
        <f t="shared" si="41"/>
        <v>#DIV/0!</v>
      </c>
      <c r="X300" s="14" t="str">
        <f t="shared" si="35"/>
        <v>=</v>
      </c>
      <c r="Y300" s="14"/>
      <c r="Z300" s="14"/>
      <c r="AA300" s="14"/>
      <c r="AB300" s="14"/>
      <c r="AC300" s="14"/>
      <c r="AD300" s="34" t="e">
        <f>IF(ISNUMBER($D300),_xll.xlBondYield($F300,$H300,$G300,$J300,$K300,$L300,$M300,$D300,$W300,IF(NOT($H300),TRUE,FALSE)),"")</f>
        <v>#NUM!</v>
      </c>
      <c r="AE300" s="12"/>
      <c r="AF300" s="12"/>
      <c r="AG300" s="12"/>
      <c r="AH300" s="14"/>
      <c r="AI300" s="14"/>
      <c r="AJ300" s="14"/>
      <c r="AK300" s="246" t="e">
        <f>IF(ISNUMBER($D300),_xll.xlBondAswSpread($F300&amp;T(TYPE($AV$1)),$H300,$G300,$J300,$K300,$L300,$M300,$D300,$W300,IF(NOT($H300),TRUE,FALSE),curveName,curveName,,,2),"")</f>
        <v>#NUM!</v>
      </c>
      <c r="AL300" s="213" t="e">
        <f>IF($W300&gt;0,_xll.xlBondZSpread(F300&amp;T(TYPE($AV$1)),H300,G300,J300,K300,L300,M300,D300,U300,"annual",5,IF(NOT($H300),TRUE,FALSE),curveName)*100,"")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4" t="str">
        <f>IF($AN$9+(($AL$9-$AM$9))*('DB Basis'!F460/10-'DB Basis'!E460),," ")</f>
        <v xml:space="preserve"> </v>
      </c>
      <c r="AO300" s="639" t="e">
        <f>IF(U300&gt;0,_xll.xlShmImplSwap2(curveName&amp;T(TYPE($AV$1)),curveName,D300,G300,,1,8,2,4),"")</f>
        <v>#DIV/0!</v>
      </c>
      <c r="AP300" s="640" t="str">
        <f t="shared" si="36"/>
        <v>-</v>
      </c>
      <c r="AQ300" s="386" t="str">
        <f t="shared" si="37"/>
        <v>-</v>
      </c>
      <c r="AR300" s="386" t="str">
        <f t="shared" si="38"/>
        <v>-</v>
      </c>
      <c r="AS300" s="388"/>
      <c r="AT300" s="242" t="str">
        <f t="shared" si="39"/>
        <v>-</v>
      </c>
      <c r="AU300" s="686" t="str">
        <f t="shared" si="42"/>
        <v>#ERROR: Invalid ISIN  #ERROR: Invalid ISIN  #ERROR: Invalid ISIN</v>
      </c>
      <c r="AV300" s="702"/>
      <c r="AW300" s="684"/>
      <c r="AX300" s="684"/>
      <c r="AY300" s="684"/>
      <c r="AZ300" s="684"/>
      <c r="BA300" s="684"/>
      <c r="BC300" s="697"/>
      <c r="BE300" s="706">
        <f>_xll.xlDateShiftMonth(BE299,1)</f>
        <v>51984</v>
      </c>
      <c r="BF300" s="707">
        <v>2.9160663838410705E-2</v>
      </c>
      <c r="BU300" s="133" t="s">
        <v>599</v>
      </c>
      <c r="BV300" s="133" t="s">
        <v>599</v>
      </c>
      <c r="BW300" s="133" t="s">
        <v>599</v>
      </c>
      <c r="BX300" s="133" t="s">
        <v>599</v>
      </c>
      <c r="BY300" s="133" t="s">
        <v>599</v>
      </c>
      <c r="BZ300" s="133" t="s">
        <v>599</v>
      </c>
      <c r="CA300" s="133" t="s">
        <v>599</v>
      </c>
      <c r="CB300" s="133" t="s">
        <v>599</v>
      </c>
      <c r="CC300" s="133" t="s">
        <v>599</v>
      </c>
      <c r="CD300" s="133" t="s">
        <v>599</v>
      </c>
      <c r="CE300" s="133" t="s">
        <v>599</v>
      </c>
      <c r="CF300" s="133" t="s">
        <v>599</v>
      </c>
    </row>
    <row r="301" spans="1:84">
      <c r="A301" s="10"/>
      <c r="B301" s="11"/>
      <c r="C301" s="12"/>
      <c r="D301" s="720">
        <f>MAX(_xll.xlDateSettle("TARGET",$D$4,2),L301)</f>
        <v>43179</v>
      </c>
      <c r="E301" s="718"/>
      <c r="F301" s="13" t="s">
        <v>1769</v>
      </c>
      <c r="G301" s="35" t="s">
        <v>1769</v>
      </c>
      <c r="H301" s="37" t="s">
        <v>1769</v>
      </c>
      <c r="I301" s="11" t="s">
        <v>1769</v>
      </c>
      <c r="J301" s="11" t="s">
        <v>1769</v>
      </c>
      <c r="K301" s="11" t="s">
        <v>1769</v>
      </c>
      <c r="L301" s="11" t="s">
        <v>1769</v>
      </c>
      <c r="M301" s="12" t="s">
        <v>1769</v>
      </c>
      <c r="N301" s="12" t="s">
        <v>1769</v>
      </c>
      <c r="O301" s="12" t="s">
        <v>1769</v>
      </c>
      <c r="P301" s="12" t="s">
        <v>1769</v>
      </c>
      <c r="Q301" s="15" t="s">
        <v>1769</v>
      </c>
      <c r="R301" s="12"/>
      <c r="S301" s="43" t="str">
        <f>_xll.RtGet("IDN",$X301,$S$9)</f>
        <v>#N/A The record could not be found</v>
      </c>
      <c r="T301" s="43" t="str">
        <f>_xll.RtGet("IDN",$X301,$T$9)</f>
        <v>#N/A The record could not be found</v>
      </c>
      <c r="U301" s="25" t="e">
        <f t="shared" si="40"/>
        <v>#DIV/0!</v>
      </c>
      <c r="V301" s="12"/>
      <c r="W301" s="25" t="e">
        <f t="shared" si="41"/>
        <v>#DIV/0!</v>
      </c>
      <c r="X301" s="14" t="str">
        <f t="shared" si="35"/>
        <v>=</v>
      </c>
      <c r="Y301" s="14"/>
      <c r="Z301" s="14"/>
      <c r="AA301" s="14"/>
      <c r="AB301" s="14"/>
      <c r="AC301" s="14"/>
      <c r="AD301" s="34" t="e">
        <f>IF(ISNUMBER($D301),_xll.xlBondYield($F301,$H301,$G301,$J301,$K301,$L301,$M301,$D301,$W301,IF(NOT($H301),TRUE,FALSE)),"")</f>
        <v>#NUM!</v>
      </c>
      <c r="AE301" s="12"/>
      <c r="AF301" s="12"/>
      <c r="AG301" s="12"/>
      <c r="AH301" s="14"/>
      <c r="AI301" s="14"/>
      <c r="AJ301" s="14"/>
      <c r="AK301" s="246" t="e">
        <f>IF(ISNUMBER($D301),_xll.xlBondAswSpread($F301&amp;T(TYPE($AV$1)),$H301,$G301,$J301,$K301,$L301,$M301,$D301,$W301,IF(NOT($H301),TRUE,FALSE),curveName,curveName,,,2),"")</f>
        <v>#NUM!</v>
      </c>
      <c r="AL301" s="213" t="e">
        <f>IF($W301&gt;0,_xll.xlBondZSpread(F301&amp;T(TYPE($AV$1)),H301,G301,J301,K301,L301,M301,D301,U301,"annual",5,IF(NOT($H301),TRUE,FALSE),curveName)*100,"")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4" t="str">
        <f>IF($AN$9+(($AL$9-$AM$9))*('DB Basis'!F461/10-'DB Basis'!E461),," ")</f>
        <v xml:space="preserve"> </v>
      </c>
      <c r="AO301" s="639" t="e">
        <f>IF(U301&gt;0,_xll.xlShmImplSwap2(curveName&amp;T(TYPE($AV$1)),curveName,D301,G301,,1,8,2,4),"")</f>
        <v>#DIV/0!</v>
      </c>
      <c r="AP301" s="640" t="str">
        <f t="shared" si="36"/>
        <v>-</v>
      </c>
      <c r="AQ301" s="386" t="str">
        <f t="shared" si="37"/>
        <v>-</v>
      </c>
      <c r="AR301" s="386" t="str">
        <f t="shared" si="38"/>
        <v>-</v>
      </c>
      <c r="AS301" s="388"/>
      <c r="AT301" s="242" t="str">
        <f t="shared" si="39"/>
        <v>-</v>
      </c>
      <c r="AU301" s="686" t="str">
        <f t="shared" si="42"/>
        <v>#ERROR: Invalid ISIN  #ERROR: Invalid ISIN  #ERROR: Invalid ISIN</v>
      </c>
      <c r="AV301" s="702"/>
      <c r="AW301" s="684"/>
      <c r="AX301" s="684"/>
      <c r="AY301" s="684"/>
      <c r="AZ301" s="684"/>
      <c r="BA301" s="684"/>
      <c r="BC301" s="697"/>
      <c r="BE301" s="706">
        <f>_xll.xlDateShiftMonth(BE300,1)</f>
        <v>52014</v>
      </c>
      <c r="BF301" s="707">
        <v>2.9233731280039196E-2</v>
      </c>
      <c r="BU301" s="133" t="s">
        <v>599</v>
      </c>
      <c r="BV301" s="133" t="s">
        <v>599</v>
      </c>
      <c r="BW301" s="133" t="s">
        <v>599</v>
      </c>
      <c r="BX301" s="133" t="s">
        <v>599</v>
      </c>
      <c r="BY301" s="133" t="s">
        <v>599</v>
      </c>
      <c r="BZ301" s="133" t="s">
        <v>599</v>
      </c>
      <c r="CA301" s="133" t="s">
        <v>599</v>
      </c>
      <c r="CB301" s="133" t="s">
        <v>599</v>
      </c>
      <c r="CC301" s="133" t="s">
        <v>599</v>
      </c>
      <c r="CD301" s="133" t="s">
        <v>599</v>
      </c>
      <c r="CE301" s="133" t="s">
        <v>599</v>
      </c>
      <c r="CF301" s="133" t="s">
        <v>599</v>
      </c>
    </row>
    <row r="302" spans="1:84">
      <c r="A302" s="10"/>
      <c r="B302" s="11"/>
      <c r="C302" s="12"/>
      <c r="D302" s="720">
        <f>MAX(_xll.xlDateSettle("TARGET",$D$4,2),L302)</f>
        <v>43179</v>
      </c>
      <c r="E302" s="718"/>
      <c r="F302" s="13" t="s">
        <v>1769</v>
      </c>
      <c r="G302" s="35" t="s">
        <v>1769</v>
      </c>
      <c r="H302" s="37" t="s">
        <v>1769</v>
      </c>
      <c r="I302" s="11" t="s">
        <v>1769</v>
      </c>
      <c r="J302" s="11" t="s">
        <v>1769</v>
      </c>
      <c r="K302" s="11" t="s">
        <v>1769</v>
      </c>
      <c r="L302" s="11" t="s">
        <v>1769</v>
      </c>
      <c r="M302" s="12" t="s">
        <v>1769</v>
      </c>
      <c r="N302" s="12" t="s">
        <v>1769</v>
      </c>
      <c r="O302" s="12" t="s">
        <v>1769</v>
      </c>
      <c r="P302" s="12" t="s">
        <v>1769</v>
      </c>
      <c r="Q302" s="15" t="s">
        <v>1769</v>
      </c>
      <c r="R302" s="12"/>
      <c r="S302" s="43" t="str">
        <f>_xll.RtGet("IDN",$X302,$S$9)</f>
        <v>#N/A The record could not be found</v>
      </c>
      <c r="T302" s="43" t="str">
        <f>_xll.RtGet("IDN",$X302,$T$9)</f>
        <v>#N/A The record could not be found</v>
      </c>
      <c r="U302" s="25" t="e">
        <f t="shared" si="40"/>
        <v>#DIV/0!</v>
      </c>
      <c r="V302" s="12"/>
      <c r="W302" s="25" t="e">
        <f t="shared" si="41"/>
        <v>#DIV/0!</v>
      </c>
      <c r="X302" s="14" t="str">
        <f t="shared" si="35"/>
        <v>=</v>
      </c>
      <c r="Y302" s="14"/>
      <c r="Z302" s="14"/>
      <c r="AA302" s="14"/>
      <c r="AB302" s="14"/>
      <c r="AC302" s="14"/>
      <c r="AD302" s="34" t="e">
        <f>IF(ISNUMBER($D302),_xll.xlBondYield($F302,$H302,$G302,$J302,$K302,$L302,$M302,$D302,$W302,IF(NOT($H302),TRUE,FALSE)),"")</f>
        <v>#NUM!</v>
      </c>
      <c r="AE302" s="12"/>
      <c r="AF302" s="12"/>
      <c r="AG302" s="12"/>
      <c r="AH302" s="14"/>
      <c r="AI302" s="14"/>
      <c r="AJ302" s="14"/>
      <c r="AK302" s="246" t="e">
        <f>IF(ISNUMBER($D302),_xll.xlBondAswSpread($F302&amp;T(TYPE($AV$1)),$H302,$G302,$J302,$K302,$L302,$M302,$D302,$W302,IF(NOT($H302),TRUE,FALSE),curveName,curveName,,,2),"")</f>
        <v>#NUM!</v>
      </c>
      <c r="AL302" s="213" t="e">
        <f>IF($W302&gt;0,_xll.xlBondZSpread(F302&amp;T(TYPE($AV$1)),H302,G302,J302,K302,L302,M302,D302,U302,"annual",5,IF(NOT($H302),TRUE,FALSE),curveName)*100,"")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4" t="str">
        <f>IF($AN$9+(($AL$9-$AM$9))*('DB Basis'!F462/10-'DB Basis'!E462),," ")</f>
        <v xml:space="preserve"> </v>
      </c>
      <c r="AO302" s="639" t="e">
        <f>IF(U302&gt;0,_xll.xlShmImplSwap2(curveName&amp;T(TYPE($AV$1)),curveName,D302,G302,,1,8,2,4),"")</f>
        <v>#DIV/0!</v>
      </c>
      <c r="AP302" s="640" t="str">
        <f t="shared" si="36"/>
        <v>-</v>
      </c>
      <c r="AQ302" s="386" t="str">
        <f t="shared" si="37"/>
        <v>-</v>
      </c>
      <c r="AR302" s="386" t="str">
        <f t="shared" si="38"/>
        <v>-</v>
      </c>
      <c r="AS302" s="388"/>
      <c r="AT302" s="242" t="str">
        <f t="shared" si="39"/>
        <v>-</v>
      </c>
      <c r="AU302" s="686" t="str">
        <f t="shared" si="42"/>
        <v>#ERROR: Invalid ISIN  #ERROR: Invalid ISIN  #ERROR: Invalid ISIN</v>
      </c>
      <c r="AV302" s="702"/>
      <c r="AW302" s="684"/>
      <c r="AX302" s="684"/>
      <c r="AY302" s="684"/>
      <c r="AZ302" s="684"/>
      <c r="BA302" s="684"/>
      <c r="BC302" s="697"/>
      <c r="BE302" s="706">
        <f>_xll.xlDateShiftMonth(BE301,1)</f>
        <v>52045</v>
      </c>
      <c r="BF302" s="707">
        <v>2.9310531008392041E-2</v>
      </c>
      <c r="BU302" s="133" t="s">
        <v>599</v>
      </c>
      <c r="BV302" s="133" t="s">
        <v>599</v>
      </c>
      <c r="BW302" s="133" t="s">
        <v>599</v>
      </c>
      <c r="BX302" s="133" t="s">
        <v>599</v>
      </c>
      <c r="BY302" s="133" t="s">
        <v>599</v>
      </c>
      <c r="BZ302" s="133" t="s">
        <v>599</v>
      </c>
      <c r="CA302" s="133" t="s">
        <v>599</v>
      </c>
      <c r="CB302" s="133" t="s">
        <v>599</v>
      </c>
      <c r="CC302" s="133" t="s">
        <v>599</v>
      </c>
      <c r="CD302" s="133" t="s">
        <v>599</v>
      </c>
      <c r="CE302" s="133" t="s">
        <v>599</v>
      </c>
      <c r="CF302" s="133" t="s">
        <v>599</v>
      </c>
    </row>
    <row r="303" spans="1:84">
      <c r="A303" s="10"/>
      <c r="B303" s="11"/>
      <c r="C303" s="12"/>
      <c r="D303" s="720">
        <f>MAX(_xll.xlDateSettle("TARGET",$D$4,2),L303)</f>
        <v>43179</v>
      </c>
      <c r="E303" s="718"/>
      <c r="F303" s="13" t="s">
        <v>1769</v>
      </c>
      <c r="G303" s="35" t="s">
        <v>1769</v>
      </c>
      <c r="H303" s="37" t="s">
        <v>1769</v>
      </c>
      <c r="I303" s="11" t="s">
        <v>1769</v>
      </c>
      <c r="J303" s="11" t="s">
        <v>1769</v>
      </c>
      <c r="K303" s="11" t="s">
        <v>1769</v>
      </c>
      <c r="L303" s="11" t="s">
        <v>1769</v>
      </c>
      <c r="M303" s="12" t="s">
        <v>1769</v>
      </c>
      <c r="N303" s="12" t="s">
        <v>1769</v>
      </c>
      <c r="O303" s="12" t="s">
        <v>1769</v>
      </c>
      <c r="P303" s="12" t="s">
        <v>1769</v>
      </c>
      <c r="Q303" s="15" t="s">
        <v>1769</v>
      </c>
      <c r="R303" s="12"/>
      <c r="S303" s="43" t="str">
        <f>_xll.RtGet("IDN",$X303,$S$9)</f>
        <v>#N/A The record could not be found</v>
      </c>
      <c r="T303" s="43" t="str">
        <f>_xll.RtGet("IDN",$X303,$T$9)</f>
        <v>#N/A The record could not be found</v>
      </c>
      <c r="U303" s="25" t="e">
        <f t="shared" si="40"/>
        <v>#DIV/0!</v>
      </c>
      <c r="V303" s="12"/>
      <c r="W303" s="25" t="e">
        <f t="shared" si="41"/>
        <v>#DIV/0!</v>
      </c>
      <c r="X303" s="14" t="str">
        <f t="shared" si="35"/>
        <v>=</v>
      </c>
      <c r="Y303" s="14"/>
      <c r="Z303" s="14"/>
      <c r="AA303" s="14"/>
      <c r="AB303" s="14"/>
      <c r="AC303" s="14"/>
      <c r="AD303" s="34" t="e">
        <f>IF(ISNUMBER($D303),_xll.xlBondYield($F303,$H303,$G303,$J303,$K303,$L303,$M303,$D303,$W303,IF(NOT($H303),TRUE,FALSE)),"")</f>
        <v>#NUM!</v>
      </c>
      <c r="AE303" s="12"/>
      <c r="AF303" s="12"/>
      <c r="AG303" s="12"/>
      <c r="AH303" s="14"/>
      <c r="AI303" s="14"/>
      <c r="AJ303" s="14"/>
      <c r="AK303" s="246" t="e">
        <f>IF(ISNUMBER($D303),_xll.xlBondAswSpread($F303&amp;T(TYPE($AV$1)),$H303,$G303,$J303,$K303,$L303,$M303,$D303,$W303,IF(NOT($H303),TRUE,FALSE),curveName,curveName,,,2),"")</f>
        <v>#NUM!</v>
      </c>
      <c r="AL303" s="213" t="e">
        <f>IF($W303&gt;0,_xll.xlBondZSpread(F303&amp;T(TYPE($AV$1)),H303,G303,J303,K303,L303,M303,D303,U303,"annual",5,IF(NOT($H303),TRUE,FALSE),curveName)*100,"")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4" t="str">
        <f>IF($AN$9+(($AL$9-$AM$9))*('DB Basis'!F463/10-'DB Basis'!E463),," ")</f>
        <v xml:space="preserve"> </v>
      </c>
      <c r="AO303" s="639" t="e">
        <f>IF(U303&gt;0,_xll.xlShmImplSwap2(curveName&amp;T(TYPE($AV$1)),curveName,D303,G303,,1,8,2,4),"")</f>
        <v>#DIV/0!</v>
      </c>
      <c r="AP303" s="640" t="str">
        <f t="shared" si="36"/>
        <v>-</v>
      </c>
      <c r="AQ303" s="386" t="str">
        <f t="shared" si="37"/>
        <v>-</v>
      </c>
      <c r="AR303" s="386" t="str">
        <f t="shared" si="38"/>
        <v>-</v>
      </c>
      <c r="AS303" s="388"/>
      <c r="AT303" s="242" t="str">
        <f t="shared" si="39"/>
        <v>-</v>
      </c>
      <c r="AU303" s="686" t="str">
        <f t="shared" si="42"/>
        <v>#ERROR: Invalid ISIN  #ERROR: Invalid ISIN  #ERROR: Invalid ISIN</v>
      </c>
      <c r="AV303" s="702"/>
      <c r="AW303" s="684"/>
      <c r="AX303" s="684"/>
      <c r="AY303" s="684"/>
      <c r="AZ303" s="684"/>
      <c r="BA303" s="684"/>
      <c r="BC303" s="697"/>
      <c r="BE303" s="706">
        <f>_xll.xlDateShiftMonth(BE302,1)</f>
        <v>52075</v>
      </c>
      <c r="BF303" s="707">
        <v>2.9386127799629964E-2</v>
      </c>
      <c r="BU303" s="133" t="s">
        <v>599</v>
      </c>
      <c r="BV303" s="133" t="s">
        <v>599</v>
      </c>
      <c r="BW303" s="133" t="s">
        <v>599</v>
      </c>
      <c r="BX303" s="133" t="s">
        <v>599</v>
      </c>
      <c r="BY303" s="133" t="s">
        <v>599</v>
      </c>
      <c r="BZ303" s="133" t="s">
        <v>599</v>
      </c>
      <c r="CA303" s="133" t="s">
        <v>599</v>
      </c>
      <c r="CB303" s="133" t="s">
        <v>599</v>
      </c>
      <c r="CC303" s="133" t="s">
        <v>599</v>
      </c>
      <c r="CD303" s="133" t="s">
        <v>599</v>
      </c>
      <c r="CE303" s="133" t="s">
        <v>599</v>
      </c>
      <c r="CF303" s="133" t="s">
        <v>599</v>
      </c>
    </row>
    <row r="304" spans="1:84">
      <c r="A304" s="10"/>
      <c r="B304" s="11"/>
      <c r="C304" s="12"/>
      <c r="D304" s="720">
        <f>MAX(_xll.xlDateSettle("TARGET",$D$4,2),L304)</f>
        <v>43179</v>
      </c>
      <c r="E304" s="718"/>
      <c r="F304" s="13" t="s">
        <v>1769</v>
      </c>
      <c r="G304" s="35" t="s">
        <v>1769</v>
      </c>
      <c r="H304" s="37" t="s">
        <v>1769</v>
      </c>
      <c r="I304" s="11" t="s">
        <v>1769</v>
      </c>
      <c r="J304" s="11" t="s">
        <v>1769</v>
      </c>
      <c r="K304" s="11" t="s">
        <v>1769</v>
      </c>
      <c r="L304" s="11" t="s">
        <v>1769</v>
      </c>
      <c r="M304" s="12" t="s">
        <v>1769</v>
      </c>
      <c r="N304" s="12" t="s">
        <v>1769</v>
      </c>
      <c r="O304" s="12" t="s">
        <v>1769</v>
      </c>
      <c r="P304" s="12" t="s">
        <v>1769</v>
      </c>
      <c r="Q304" s="15" t="s">
        <v>1769</v>
      </c>
      <c r="R304" s="12"/>
      <c r="S304" s="43" t="str">
        <f>_xll.RtGet("IDN",$X304,$S$9)</f>
        <v>#N/A The record could not be found</v>
      </c>
      <c r="T304" s="43" t="str">
        <f>_xll.RtGet("IDN",$X304,$T$9)</f>
        <v>#N/A The record could not be found</v>
      </c>
      <c r="U304" s="25" t="e">
        <f t="shared" si="40"/>
        <v>#DIV/0!</v>
      </c>
      <c r="V304" s="12"/>
      <c r="W304" s="25" t="e">
        <f t="shared" si="41"/>
        <v>#DIV/0!</v>
      </c>
      <c r="X304" s="14" t="str">
        <f t="shared" si="35"/>
        <v>=</v>
      </c>
      <c r="Y304" s="14"/>
      <c r="Z304" s="14"/>
      <c r="AA304" s="14"/>
      <c r="AB304" s="14"/>
      <c r="AC304" s="14"/>
      <c r="AD304" s="34" t="e">
        <f>IF(ISNUMBER($D304),_xll.xlBondYield($F304,$H304,$G304,$J304,$K304,$L304,$M304,$D304,$W304,IF(NOT($H304),TRUE,FALSE)),"")</f>
        <v>#NUM!</v>
      </c>
      <c r="AE304" s="12"/>
      <c r="AF304" s="12"/>
      <c r="AG304" s="12"/>
      <c r="AH304" s="14"/>
      <c r="AI304" s="14"/>
      <c r="AJ304" s="14"/>
      <c r="AK304" s="246" t="e">
        <f>IF(ISNUMBER($D304),_xll.xlBondAswSpread($F304&amp;T(TYPE($AV$1)),$H304,$G304,$J304,$K304,$L304,$M304,$D304,$W304,IF(NOT($H304),TRUE,FALSE),curveName,curveName,,,2),"")</f>
        <v>#NUM!</v>
      </c>
      <c r="AL304" s="213" t="e">
        <f>IF($W304&gt;0,_xll.xlBondZSpread(F304&amp;T(TYPE($AV$1)),H304,G304,J304,K304,L304,M304,D304,U304,"annual",5,IF(NOT($H304),TRUE,FALSE),curveName)*100,"")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4" t="str">
        <f>IF($AN$9+(($AL$9-$AM$9))*('DB Basis'!F464/10-'DB Basis'!E464),," ")</f>
        <v xml:space="preserve"> </v>
      </c>
      <c r="AO304" s="639" t="e">
        <f>IF(U304&gt;0,_xll.xlShmImplSwap2(curveName&amp;T(TYPE($AV$1)),curveName,D304,G304,,1,8,2,4),"")</f>
        <v>#DIV/0!</v>
      </c>
      <c r="AP304" s="640" t="str">
        <f t="shared" si="36"/>
        <v>-</v>
      </c>
      <c r="AQ304" s="386" t="str">
        <f t="shared" si="37"/>
        <v>-</v>
      </c>
      <c r="AR304" s="386" t="str">
        <f t="shared" si="38"/>
        <v>-</v>
      </c>
      <c r="AS304" s="388"/>
      <c r="AT304" s="242" t="str">
        <f t="shared" si="39"/>
        <v>-</v>
      </c>
      <c r="AU304" s="686" t="str">
        <f t="shared" si="42"/>
        <v>#ERROR: Invalid ISIN  #ERROR: Invalid ISIN  #ERROR: Invalid ISIN</v>
      </c>
      <c r="AV304" s="702"/>
      <c r="AW304" s="684"/>
      <c r="AX304" s="684"/>
      <c r="AY304" s="684"/>
      <c r="AZ304" s="684"/>
      <c r="BA304" s="684"/>
      <c r="BC304" s="697"/>
      <c r="BE304" s="706">
        <f>_xll.xlDateShiftMonth(BE303,1)</f>
        <v>52106</v>
      </c>
      <c r="BF304" s="707">
        <v>2.9465581912959057E-2</v>
      </c>
      <c r="BU304" s="133" t="s">
        <v>599</v>
      </c>
      <c r="BV304" s="133" t="s">
        <v>599</v>
      </c>
      <c r="BW304" s="133" t="s">
        <v>599</v>
      </c>
      <c r="BX304" s="133" t="s">
        <v>599</v>
      </c>
      <c r="BY304" s="133" t="s">
        <v>599</v>
      </c>
      <c r="BZ304" s="133" t="s">
        <v>599</v>
      </c>
      <c r="CA304" s="133" t="s">
        <v>599</v>
      </c>
      <c r="CB304" s="133" t="s">
        <v>599</v>
      </c>
      <c r="CC304" s="133" t="s">
        <v>599</v>
      </c>
      <c r="CD304" s="133" t="s">
        <v>599</v>
      </c>
      <c r="CE304" s="133" t="s">
        <v>599</v>
      </c>
      <c r="CF304" s="133" t="s">
        <v>599</v>
      </c>
    </row>
    <row r="305" spans="1:84">
      <c r="A305" s="10"/>
      <c r="B305" s="11"/>
      <c r="C305" s="12"/>
      <c r="D305" s="720">
        <f>MAX(_xll.xlDateSettle("TARGET",$D$4,2),L305)</f>
        <v>43179</v>
      </c>
      <c r="E305" s="718"/>
      <c r="F305" s="13" t="s">
        <v>1769</v>
      </c>
      <c r="G305" s="35" t="s">
        <v>1769</v>
      </c>
      <c r="H305" s="37" t="s">
        <v>1769</v>
      </c>
      <c r="I305" s="11" t="s">
        <v>1769</v>
      </c>
      <c r="J305" s="11" t="s">
        <v>1769</v>
      </c>
      <c r="K305" s="11" t="s">
        <v>1769</v>
      </c>
      <c r="L305" s="11" t="s">
        <v>1769</v>
      </c>
      <c r="M305" s="12" t="s">
        <v>1769</v>
      </c>
      <c r="N305" s="12" t="s">
        <v>1769</v>
      </c>
      <c r="O305" s="12" t="s">
        <v>1769</v>
      </c>
      <c r="P305" s="12" t="s">
        <v>1769</v>
      </c>
      <c r="Q305" s="15" t="s">
        <v>1769</v>
      </c>
      <c r="R305" s="12"/>
      <c r="S305" s="43" t="str">
        <f>_xll.RtGet("IDN",$X305,$S$9)</f>
        <v>#N/A The record could not be found</v>
      </c>
      <c r="T305" s="43" t="str">
        <f>_xll.RtGet("IDN",$X305,$T$9)</f>
        <v>#N/A The record could not be found</v>
      </c>
      <c r="U305" s="25" t="e">
        <f t="shared" si="40"/>
        <v>#DIV/0!</v>
      </c>
      <c r="V305" s="12"/>
      <c r="W305" s="25" t="e">
        <f t="shared" si="41"/>
        <v>#DIV/0!</v>
      </c>
      <c r="X305" s="14" t="str">
        <f t="shared" si="35"/>
        <v>=</v>
      </c>
      <c r="Y305" s="14"/>
      <c r="Z305" s="14"/>
      <c r="AA305" s="14"/>
      <c r="AB305" s="14"/>
      <c r="AC305" s="14"/>
      <c r="AD305" s="34" t="e">
        <f>IF(ISNUMBER($D305),_xll.xlBondYield($F305,$H305,$G305,$J305,$K305,$L305,$M305,$D305,$W305,IF(NOT($H305),TRUE,FALSE)),"")</f>
        <v>#NUM!</v>
      </c>
      <c r="AE305" s="12"/>
      <c r="AF305" s="12"/>
      <c r="AG305" s="12"/>
      <c r="AH305" s="14"/>
      <c r="AI305" s="14"/>
      <c r="AJ305" s="14"/>
      <c r="AK305" s="246" t="e">
        <f>IF(ISNUMBER($D305),_xll.xlBondAswSpread($F305&amp;T(TYPE($AV$1)),$H305,$G305,$J305,$K305,$L305,$M305,$D305,$W305,IF(NOT($H305),TRUE,FALSE),curveName,curveName,,,2),"")</f>
        <v>#NUM!</v>
      </c>
      <c r="AL305" s="213" t="e">
        <f>IF($W305&gt;0,_xll.xlBondZSpread(F305&amp;T(TYPE($AV$1)),H305,G305,J305,K305,L305,M305,D305,U305,"annual",5,IF(NOT($H305),TRUE,FALSE),curveName)*100,"")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4" t="str">
        <f>IF($AN$9+(($AL$9-$AM$9))*('DB Basis'!F465/10-'DB Basis'!E465),," ")</f>
        <v xml:space="preserve"> </v>
      </c>
      <c r="AO305" s="639" t="e">
        <f>IF(U305&gt;0,_xll.xlShmImplSwap2(curveName&amp;T(TYPE($AV$1)),curveName,D305,G305,,1,8,2,4),"")</f>
        <v>#DIV/0!</v>
      </c>
      <c r="AP305" s="640" t="str">
        <f t="shared" si="36"/>
        <v>-</v>
      </c>
      <c r="AQ305" s="386" t="str">
        <f t="shared" si="37"/>
        <v>-</v>
      </c>
      <c r="AR305" s="386" t="str">
        <f t="shared" si="38"/>
        <v>-</v>
      </c>
      <c r="AS305" s="388"/>
      <c r="AT305" s="242" t="str">
        <f t="shared" si="39"/>
        <v>-</v>
      </c>
      <c r="AU305" s="686" t="str">
        <f t="shared" si="42"/>
        <v>#ERROR: Invalid ISIN  #ERROR: Invalid ISIN  #ERROR: Invalid ISIN</v>
      </c>
      <c r="AV305" s="702"/>
      <c r="AW305" s="684"/>
      <c r="AX305" s="684"/>
      <c r="AY305" s="684"/>
      <c r="AZ305" s="684"/>
      <c r="BA305" s="684"/>
      <c r="BC305" s="697"/>
      <c r="BE305" s="706">
        <f>_xll.xlDateShiftMonth(BE304,1)</f>
        <v>52137</v>
      </c>
      <c r="BF305" s="707">
        <v>2.9546416189152984E-2</v>
      </c>
      <c r="BU305" s="133" t="s">
        <v>599</v>
      </c>
      <c r="BV305" s="133" t="s">
        <v>599</v>
      </c>
      <c r="BW305" s="133" t="s">
        <v>599</v>
      </c>
      <c r="BX305" s="133" t="s">
        <v>599</v>
      </c>
      <c r="BY305" s="133" t="s">
        <v>599</v>
      </c>
      <c r="BZ305" s="133" t="s">
        <v>599</v>
      </c>
      <c r="CA305" s="133" t="s">
        <v>599</v>
      </c>
      <c r="CB305" s="133" t="s">
        <v>599</v>
      </c>
      <c r="CC305" s="133" t="s">
        <v>599</v>
      </c>
      <c r="CD305" s="133" t="s">
        <v>599</v>
      </c>
      <c r="CE305" s="133" t="s">
        <v>599</v>
      </c>
      <c r="CF305" s="133" t="s">
        <v>599</v>
      </c>
    </row>
    <row r="306" spans="1:84">
      <c r="A306" s="10"/>
      <c r="B306" s="11"/>
      <c r="C306" s="12"/>
      <c r="D306" s="720">
        <f>MAX(_xll.xlDateSettle("TARGET",$D$4,2),L306)</f>
        <v>43179</v>
      </c>
      <c r="E306" s="718"/>
      <c r="F306" s="13" t="s">
        <v>1769</v>
      </c>
      <c r="G306" s="35" t="s">
        <v>1769</v>
      </c>
      <c r="H306" s="37" t="s">
        <v>1769</v>
      </c>
      <c r="I306" s="11" t="s">
        <v>1769</v>
      </c>
      <c r="J306" s="11" t="s">
        <v>1769</v>
      </c>
      <c r="K306" s="11" t="s">
        <v>1769</v>
      </c>
      <c r="L306" s="11" t="s">
        <v>1769</v>
      </c>
      <c r="M306" s="12" t="s">
        <v>1769</v>
      </c>
      <c r="N306" s="12" t="s">
        <v>1769</v>
      </c>
      <c r="O306" s="12" t="s">
        <v>1769</v>
      </c>
      <c r="P306" s="12" t="s">
        <v>1769</v>
      </c>
      <c r="Q306" s="15" t="s">
        <v>1769</v>
      </c>
      <c r="R306" s="12"/>
      <c r="S306" s="43" t="str">
        <f>_xll.RtGet("IDN",$X306,$S$9)</f>
        <v>#N/A The record could not be found</v>
      </c>
      <c r="T306" s="43" t="str">
        <f>_xll.RtGet("IDN",$X306,$T$9)</f>
        <v>#N/A The record could not be found</v>
      </c>
      <c r="U306" s="25" t="e">
        <f t="shared" si="40"/>
        <v>#DIV/0!</v>
      </c>
      <c r="V306" s="12"/>
      <c r="W306" s="25" t="e">
        <f t="shared" si="41"/>
        <v>#DIV/0!</v>
      </c>
      <c r="X306" s="14" t="str">
        <f t="shared" si="35"/>
        <v>=</v>
      </c>
      <c r="Y306" s="14"/>
      <c r="Z306" s="14"/>
      <c r="AA306" s="14"/>
      <c r="AB306" s="14"/>
      <c r="AC306" s="14"/>
      <c r="AD306" s="34" t="e">
        <f>IF(ISNUMBER($D306),_xll.xlBondYield($F306,$H306,$G306,$J306,$K306,$L306,$M306,$D306,$W306,IF(NOT($H306),TRUE,FALSE)),"")</f>
        <v>#NUM!</v>
      </c>
      <c r="AE306" s="12"/>
      <c r="AF306" s="12"/>
      <c r="AG306" s="12"/>
      <c r="AH306" s="14"/>
      <c r="AI306" s="14"/>
      <c r="AJ306" s="14"/>
      <c r="AK306" s="246" t="e">
        <f>IF(ISNUMBER($D306),_xll.xlBondAswSpread($F306&amp;T(TYPE($AV$1)),$H306,$G306,$J306,$K306,$L306,$M306,$D306,$W306,IF(NOT($H306),TRUE,FALSE),curveName,curveName,,,2),"")</f>
        <v>#NUM!</v>
      </c>
      <c r="AL306" s="213" t="e">
        <f>IF($W306&gt;0,_xll.xlBondZSpread(F306&amp;T(TYPE($AV$1)),H306,G306,J306,K306,L306,M306,D306,U306,"annual",5,IF(NOT($H306),TRUE,FALSE),curveName)*100,"")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4" t="str">
        <f>IF($AN$9+(($AL$9-$AM$9))*('DB Basis'!F466/10-'DB Basis'!E466),," ")</f>
        <v xml:space="preserve"> </v>
      </c>
      <c r="AO306" s="639" t="e">
        <f>IF(U306&gt;0,_xll.xlShmImplSwap2(curveName&amp;T(TYPE($AV$1)),curveName,D306,G306,,1,8,2,4),"")</f>
        <v>#DIV/0!</v>
      </c>
      <c r="AP306" s="640" t="str">
        <f t="shared" si="36"/>
        <v>-</v>
      </c>
      <c r="AQ306" s="386" t="str">
        <f t="shared" si="37"/>
        <v>-</v>
      </c>
      <c r="AR306" s="386" t="str">
        <f t="shared" si="38"/>
        <v>-</v>
      </c>
      <c r="AS306" s="388"/>
      <c r="AT306" s="242" t="str">
        <f t="shared" si="39"/>
        <v>-</v>
      </c>
      <c r="AU306" s="686" t="str">
        <f t="shared" si="42"/>
        <v>#ERROR: Invalid ISIN  #ERROR: Invalid ISIN  #ERROR: Invalid ISIN</v>
      </c>
      <c r="AV306" s="702"/>
      <c r="AW306" s="684"/>
      <c r="AX306" s="684"/>
      <c r="AY306" s="684"/>
      <c r="AZ306" s="684"/>
      <c r="BA306" s="684"/>
      <c r="BC306" s="697"/>
      <c r="BE306" s="706">
        <f>_xll.xlDateShiftMonth(BE305,1)</f>
        <v>52167</v>
      </c>
      <c r="BF306" s="707">
        <v>2.9625976819628093E-2</v>
      </c>
      <c r="BU306" s="133" t="s">
        <v>599</v>
      </c>
      <c r="BV306" s="133" t="s">
        <v>599</v>
      </c>
      <c r="BW306" s="133" t="s">
        <v>599</v>
      </c>
      <c r="BX306" s="133" t="s">
        <v>599</v>
      </c>
      <c r="BY306" s="133" t="s">
        <v>599</v>
      </c>
      <c r="BZ306" s="133" t="s">
        <v>599</v>
      </c>
      <c r="CA306" s="133" t="s">
        <v>599</v>
      </c>
      <c r="CB306" s="133" t="s">
        <v>599</v>
      </c>
      <c r="CC306" s="133" t="s">
        <v>599</v>
      </c>
      <c r="CD306" s="133" t="s">
        <v>599</v>
      </c>
      <c r="CE306" s="133" t="s">
        <v>599</v>
      </c>
      <c r="CF306" s="133" t="s">
        <v>599</v>
      </c>
    </row>
    <row r="307" spans="1:84">
      <c r="A307" s="10"/>
      <c r="B307" s="11"/>
      <c r="C307" s="12"/>
      <c r="D307" s="720">
        <f>MAX(_xll.xlDateSettle("TARGET",$D$4,2),L307)</f>
        <v>43179</v>
      </c>
      <c r="E307" s="718"/>
      <c r="F307" s="13" t="s">
        <v>1769</v>
      </c>
      <c r="G307" s="35" t="s">
        <v>1769</v>
      </c>
      <c r="H307" s="37" t="s">
        <v>1769</v>
      </c>
      <c r="I307" s="11" t="s">
        <v>1769</v>
      </c>
      <c r="J307" s="11" t="s">
        <v>1769</v>
      </c>
      <c r="K307" s="11" t="s">
        <v>1769</v>
      </c>
      <c r="L307" s="11" t="s">
        <v>1769</v>
      </c>
      <c r="M307" s="12" t="s">
        <v>1769</v>
      </c>
      <c r="N307" s="12" t="s">
        <v>1769</v>
      </c>
      <c r="O307" s="12" t="s">
        <v>1769</v>
      </c>
      <c r="P307" s="12" t="s">
        <v>1769</v>
      </c>
      <c r="Q307" s="15" t="s">
        <v>1769</v>
      </c>
      <c r="R307" s="12"/>
      <c r="S307" s="43" t="str">
        <f>_xll.RtGet("IDN",$X307,$S$9)</f>
        <v>#N/A The record could not be found</v>
      </c>
      <c r="T307" s="43" t="str">
        <f>_xll.RtGet("IDN",$X307,$T$9)</f>
        <v>#N/A The record could not be found</v>
      </c>
      <c r="U307" s="25" t="e">
        <f t="shared" si="40"/>
        <v>#DIV/0!</v>
      </c>
      <c r="V307" s="12"/>
      <c r="W307" s="25" t="e">
        <f t="shared" si="41"/>
        <v>#DIV/0!</v>
      </c>
      <c r="X307" s="14" t="str">
        <f t="shared" si="35"/>
        <v>=</v>
      </c>
      <c r="Y307" s="14"/>
      <c r="Z307" s="14"/>
      <c r="AA307" s="14"/>
      <c r="AB307" s="14"/>
      <c r="AC307" s="14"/>
      <c r="AD307" s="34" t="e">
        <f>IF(ISNUMBER($D307),_xll.xlBondYield($F307,$H307,$G307,$J307,$K307,$L307,$M307,$D307,$W307,IF(NOT($H307),TRUE,FALSE)),"")</f>
        <v>#NUM!</v>
      </c>
      <c r="AE307" s="12"/>
      <c r="AF307" s="12"/>
      <c r="AG307" s="12"/>
      <c r="AH307" s="14"/>
      <c r="AI307" s="14"/>
      <c r="AJ307" s="14"/>
      <c r="AK307" s="246" t="e">
        <f>IF(ISNUMBER($D307),_xll.xlBondAswSpread($F307&amp;T(TYPE($AV$1)),$H307,$G307,$J307,$K307,$L307,$M307,$D307,$W307,IF(NOT($H307),TRUE,FALSE),curveName,curveName,,,2),"")</f>
        <v>#NUM!</v>
      </c>
      <c r="AL307" s="213" t="e">
        <f>IF($W307&gt;0,_xll.xlBondZSpread(F307&amp;T(TYPE($AV$1)),H307,G307,J307,K307,L307,M307,D307,U307,"annual",5,IF(NOT($H307),TRUE,FALSE),curveName)*100,"")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4" t="str">
        <f>IF($AN$9+(($AL$9-$AM$9))*('DB Basis'!F467/10-'DB Basis'!E467),," ")</f>
        <v xml:space="preserve"> </v>
      </c>
      <c r="AO307" s="639" t="e">
        <f>IF(U307&gt;0,_xll.xlShmImplSwap2(curveName&amp;T(TYPE($AV$1)),curveName,D307,G307,,1,8,2,4),"")</f>
        <v>#DIV/0!</v>
      </c>
      <c r="AP307" s="640" t="str">
        <f t="shared" si="36"/>
        <v>-</v>
      </c>
      <c r="AQ307" s="386" t="str">
        <f t="shared" si="37"/>
        <v>-</v>
      </c>
      <c r="AR307" s="386" t="str">
        <f t="shared" si="38"/>
        <v>-</v>
      </c>
      <c r="AS307" s="388"/>
      <c r="AT307" s="242" t="str">
        <f t="shared" si="39"/>
        <v>-</v>
      </c>
      <c r="AU307" s="686" t="str">
        <f t="shared" si="42"/>
        <v>#ERROR: Invalid ISIN  #ERROR: Invalid ISIN  #ERROR: Invalid ISIN</v>
      </c>
      <c r="AV307" s="702"/>
      <c r="AW307" s="684"/>
      <c r="AX307" s="684"/>
      <c r="AY307" s="684"/>
      <c r="AZ307" s="684"/>
      <c r="BA307" s="684"/>
      <c r="BC307" s="697"/>
      <c r="BE307" s="706">
        <f>_xll.xlDateShiftMonth(BE306,1)</f>
        <v>52198</v>
      </c>
      <c r="BF307" s="707">
        <v>2.9709588319539619E-2</v>
      </c>
      <c r="BU307" s="133" t="s">
        <v>599</v>
      </c>
      <c r="BV307" s="133" t="s">
        <v>599</v>
      </c>
      <c r="BW307" s="133" t="s">
        <v>599</v>
      </c>
      <c r="BX307" s="133" t="s">
        <v>599</v>
      </c>
      <c r="BY307" s="133" t="s">
        <v>599</v>
      </c>
      <c r="BZ307" s="133" t="s">
        <v>599</v>
      </c>
      <c r="CA307" s="133" t="s">
        <v>599</v>
      </c>
      <c r="CB307" s="133" t="s">
        <v>599</v>
      </c>
      <c r="CC307" s="133" t="s">
        <v>599</v>
      </c>
      <c r="CD307" s="133" t="s">
        <v>599</v>
      </c>
      <c r="CE307" s="133" t="s">
        <v>599</v>
      </c>
      <c r="CF307" s="133" t="s">
        <v>599</v>
      </c>
    </row>
    <row r="308" spans="1:84">
      <c r="A308" s="10"/>
      <c r="B308" s="11"/>
      <c r="C308" s="12"/>
      <c r="D308" s="720">
        <f>MAX(_xll.xlDateSettle("TARGET",$D$4,2),L308)</f>
        <v>43179</v>
      </c>
      <c r="E308" s="718"/>
      <c r="F308" s="13" t="s">
        <v>1769</v>
      </c>
      <c r="G308" s="35" t="s">
        <v>1769</v>
      </c>
      <c r="H308" s="37" t="s">
        <v>1769</v>
      </c>
      <c r="I308" s="11" t="s">
        <v>1769</v>
      </c>
      <c r="J308" s="11" t="s">
        <v>1769</v>
      </c>
      <c r="K308" s="11" t="s">
        <v>1769</v>
      </c>
      <c r="L308" s="11" t="s">
        <v>1769</v>
      </c>
      <c r="M308" s="12" t="s">
        <v>1769</v>
      </c>
      <c r="N308" s="12" t="s">
        <v>1769</v>
      </c>
      <c r="O308" s="12" t="s">
        <v>1769</v>
      </c>
      <c r="P308" s="12" t="s">
        <v>1769</v>
      </c>
      <c r="Q308" s="15" t="s">
        <v>1769</v>
      </c>
      <c r="R308" s="12"/>
      <c r="S308" s="43" t="str">
        <f>_xll.RtGet("IDN",$X308,$S$9)</f>
        <v>#N/A The record could not be found</v>
      </c>
      <c r="T308" s="43" t="str">
        <f>_xll.RtGet("IDN",$X308,$T$9)</f>
        <v>#N/A The record could not be found</v>
      </c>
      <c r="U308" s="25" t="e">
        <f t="shared" si="40"/>
        <v>#DIV/0!</v>
      </c>
      <c r="V308" s="12"/>
      <c r="W308" s="25" t="e">
        <f t="shared" si="41"/>
        <v>#DIV/0!</v>
      </c>
      <c r="X308" s="14" t="str">
        <f t="shared" si="35"/>
        <v>=</v>
      </c>
      <c r="Y308" s="14"/>
      <c r="Z308" s="14"/>
      <c r="AA308" s="14"/>
      <c r="AB308" s="14"/>
      <c r="AC308" s="14"/>
      <c r="AD308" s="34" t="e">
        <f>IF(ISNUMBER($D308),_xll.xlBondYield($F308,$H308,$G308,$J308,$K308,$L308,$M308,$D308,$W308,IF(NOT($H308),TRUE,FALSE)),"")</f>
        <v>#NUM!</v>
      </c>
      <c r="AE308" s="12"/>
      <c r="AF308" s="12"/>
      <c r="AG308" s="12"/>
      <c r="AH308" s="14"/>
      <c r="AI308" s="14"/>
      <c r="AJ308" s="14"/>
      <c r="AK308" s="246" t="e">
        <f>IF(ISNUMBER($D308),_xll.xlBondAswSpread($F308&amp;T(TYPE($AV$1)),$H308,$G308,$J308,$K308,$L308,$M308,$D308,$W308,IF(NOT($H308),TRUE,FALSE),curveName,curveName,,,2),"")</f>
        <v>#NUM!</v>
      </c>
      <c r="AL308" s="213" t="e">
        <f>IF($W308&gt;0,_xll.xlBondZSpread(F308&amp;T(TYPE($AV$1)),H308,G308,J308,K308,L308,M308,D308,U308,"annual",5,IF(NOT($H308),TRUE,FALSE),curveName)*100,"")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4" t="str">
        <f>IF($AN$9+(($AL$9-$AM$9))*('DB Basis'!F468/10-'DB Basis'!E468),," ")</f>
        <v xml:space="preserve"> </v>
      </c>
      <c r="AO308" s="639" t="e">
        <f>IF(U308&gt;0,_xll.xlShmImplSwap2(curveName&amp;T(TYPE($AV$1)),curveName,D308,G308,,1,8,2,4),"")</f>
        <v>#DIV/0!</v>
      </c>
      <c r="AP308" s="640" t="str">
        <f t="shared" si="36"/>
        <v>-</v>
      </c>
      <c r="AQ308" s="386" t="str">
        <f t="shared" si="37"/>
        <v>-</v>
      </c>
      <c r="AR308" s="386" t="str">
        <f t="shared" si="38"/>
        <v>-</v>
      </c>
      <c r="AS308" s="388"/>
      <c r="AT308" s="242" t="str">
        <f t="shared" si="39"/>
        <v>-</v>
      </c>
      <c r="AU308" s="686" t="str">
        <f t="shared" si="42"/>
        <v>#ERROR: Invalid ISIN  #ERROR: Invalid ISIN  #ERROR: Invalid ISIN</v>
      </c>
      <c r="AV308" s="702"/>
      <c r="AW308" s="684"/>
      <c r="AX308" s="684"/>
      <c r="AY308" s="684"/>
      <c r="AZ308" s="684"/>
      <c r="BA308" s="684"/>
      <c r="BC308" s="697"/>
      <c r="BE308" s="706">
        <f>_xll.xlDateShiftMonth(BE307,1)</f>
        <v>52228</v>
      </c>
      <c r="BF308" s="707">
        <v>2.9791875995915477E-2</v>
      </c>
      <c r="BU308" s="133" t="s">
        <v>599</v>
      </c>
      <c r="BV308" s="133" t="s">
        <v>599</v>
      </c>
      <c r="BW308" s="133" t="s">
        <v>599</v>
      </c>
      <c r="BX308" s="133" t="s">
        <v>599</v>
      </c>
      <c r="BY308" s="133" t="s">
        <v>599</v>
      </c>
      <c r="BZ308" s="133" t="s">
        <v>599</v>
      </c>
      <c r="CA308" s="133" t="s">
        <v>599</v>
      </c>
      <c r="CB308" s="133" t="s">
        <v>599</v>
      </c>
      <c r="CC308" s="133" t="s">
        <v>599</v>
      </c>
      <c r="CD308" s="133" t="s">
        <v>599</v>
      </c>
      <c r="CE308" s="133" t="s">
        <v>599</v>
      </c>
      <c r="CF308" s="133" t="s">
        <v>599</v>
      </c>
    </row>
    <row r="309" spans="1:84">
      <c r="A309" s="10"/>
      <c r="B309" s="11"/>
      <c r="C309" s="12"/>
      <c r="D309" s="720">
        <f>MAX(_xll.xlDateSettle("TARGET",$D$4,2),L309)</f>
        <v>43179</v>
      </c>
      <c r="E309" s="718"/>
      <c r="F309" s="13" t="s">
        <v>1769</v>
      </c>
      <c r="G309" s="35" t="s">
        <v>1769</v>
      </c>
      <c r="H309" s="37" t="s">
        <v>1769</v>
      </c>
      <c r="I309" s="11" t="s">
        <v>1769</v>
      </c>
      <c r="J309" s="11" t="s">
        <v>1769</v>
      </c>
      <c r="K309" s="11" t="s">
        <v>1769</v>
      </c>
      <c r="L309" s="11" t="s">
        <v>1769</v>
      </c>
      <c r="M309" s="12" t="s">
        <v>1769</v>
      </c>
      <c r="N309" s="12" t="s">
        <v>1769</v>
      </c>
      <c r="O309" s="12" t="s">
        <v>1769</v>
      </c>
      <c r="P309" s="12" t="s">
        <v>1769</v>
      </c>
      <c r="Q309" s="15" t="s">
        <v>1769</v>
      </c>
      <c r="R309" s="12"/>
      <c r="S309" s="43" t="str">
        <f>_xll.RtGet("IDN",$X309,$S$9)</f>
        <v>#N/A The record could not be found</v>
      </c>
      <c r="T309" s="43" t="str">
        <f>_xll.RtGet("IDN",$X309,$T$9)</f>
        <v>#N/A The record could not be found</v>
      </c>
      <c r="U309" s="25" t="e">
        <f t="shared" si="40"/>
        <v>#DIV/0!</v>
      </c>
      <c r="V309" s="12"/>
      <c r="W309" s="25" t="e">
        <f t="shared" si="41"/>
        <v>#DIV/0!</v>
      </c>
      <c r="X309" s="14" t="str">
        <f t="shared" si="35"/>
        <v>=</v>
      </c>
      <c r="Y309" s="14"/>
      <c r="Z309" s="14"/>
      <c r="AA309" s="14"/>
      <c r="AB309" s="14"/>
      <c r="AC309" s="14"/>
      <c r="AD309" s="34" t="e">
        <f>IF(ISNUMBER($D309),_xll.xlBondYield($F309,$H309,$G309,$J309,$K309,$L309,$M309,$D309,$W309,IF(NOT($H309),TRUE,FALSE)),"")</f>
        <v>#NUM!</v>
      </c>
      <c r="AE309" s="12"/>
      <c r="AF309" s="12"/>
      <c r="AG309" s="12"/>
      <c r="AH309" s="14"/>
      <c r="AI309" s="14"/>
      <c r="AJ309" s="14"/>
      <c r="AK309" s="246" t="e">
        <f>IF(ISNUMBER($D309),_xll.xlBondAswSpread($F309&amp;T(TYPE($AV$1)),$H309,$G309,$J309,$K309,$L309,$M309,$D309,$W309,IF(NOT($H309),TRUE,FALSE),curveName,curveName,,,2),"")</f>
        <v>#NUM!</v>
      </c>
      <c r="AL309" s="213" t="e">
        <f>IF($W309&gt;0,_xll.xlBondZSpread(F309&amp;T(TYPE($AV$1)),H309,G309,J309,K309,L309,M309,D309,U309,"annual",5,IF(NOT($H309),TRUE,FALSE),curveName)*100,"")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4" t="str">
        <f>IF($AN$9+(($AL$9-$AM$9))*('DB Basis'!F469/10-'DB Basis'!E469),," ")</f>
        <v xml:space="preserve"> </v>
      </c>
      <c r="AO309" s="639" t="e">
        <f>IF(U309&gt;0,_xll.xlShmImplSwap2(curveName&amp;T(TYPE($AV$1)),curveName,D309,G309,,1,8,2,4),"")</f>
        <v>#DIV/0!</v>
      </c>
      <c r="AP309" s="640" t="str">
        <f t="shared" si="36"/>
        <v>-</v>
      </c>
      <c r="AQ309" s="386" t="str">
        <f t="shared" si="37"/>
        <v>-</v>
      </c>
      <c r="AR309" s="386" t="str">
        <f t="shared" si="38"/>
        <v>-</v>
      </c>
      <c r="AS309" s="388"/>
      <c r="AT309" s="242" t="str">
        <f t="shared" si="39"/>
        <v>-</v>
      </c>
      <c r="AU309" s="686" t="str">
        <f t="shared" si="42"/>
        <v>#ERROR: Invalid ISIN  #ERROR: Invalid ISIN  #ERROR: Invalid ISIN</v>
      </c>
      <c r="AV309" s="702"/>
      <c r="AW309" s="684"/>
      <c r="AX309" s="684"/>
      <c r="AY309" s="684"/>
      <c r="AZ309" s="684"/>
      <c r="BA309" s="684"/>
      <c r="BC309" s="697"/>
      <c r="BE309" s="706">
        <f>_xll.xlDateShiftMonth(BE308,1)</f>
        <v>52259</v>
      </c>
      <c r="BF309" s="707">
        <v>2.9878346166970944E-2</v>
      </c>
      <c r="BU309" s="133" t="s">
        <v>599</v>
      </c>
      <c r="BV309" s="133" t="s">
        <v>599</v>
      </c>
      <c r="BW309" s="133" t="s">
        <v>599</v>
      </c>
      <c r="BX309" s="133" t="s">
        <v>599</v>
      </c>
      <c r="BY309" s="133" t="s">
        <v>599</v>
      </c>
      <c r="BZ309" s="133" t="s">
        <v>599</v>
      </c>
      <c r="CA309" s="133" t="s">
        <v>599</v>
      </c>
      <c r="CB309" s="133" t="s">
        <v>599</v>
      </c>
      <c r="CC309" s="133" t="s">
        <v>599</v>
      </c>
      <c r="CD309" s="133" t="s">
        <v>599</v>
      </c>
      <c r="CE309" s="133" t="s">
        <v>599</v>
      </c>
      <c r="CF309" s="133" t="s">
        <v>599</v>
      </c>
    </row>
    <row r="310" spans="1:84">
      <c r="A310" s="10"/>
      <c r="B310" s="11"/>
      <c r="C310" s="12"/>
      <c r="D310" s="720">
        <f>MAX(_xll.xlDateSettle("TARGET",$D$4,2),L310)</f>
        <v>43179</v>
      </c>
      <c r="E310" s="718"/>
      <c r="F310" s="13" t="s">
        <v>1769</v>
      </c>
      <c r="G310" s="35" t="s">
        <v>1769</v>
      </c>
      <c r="H310" s="37" t="s">
        <v>1769</v>
      </c>
      <c r="I310" s="11" t="s">
        <v>1769</v>
      </c>
      <c r="J310" s="11" t="s">
        <v>1769</v>
      </c>
      <c r="K310" s="11" t="s">
        <v>1769</v>
      </c>
      <c r="L310" s="11" t="s">
        <v>1769</v>
      </c>
      <c r="M310" s="12" t="s">
        <v>1769</v>
      </c>
      <c r="N310" s="12" t="s">
        <v>1769</v>
      </c>
      <c r="O310" s="12" t="s">
        <v>1769</v>
      </c>
      <c r="P310" s="12" t="s">
        <v>1769</v>
      </c>
      <c r="Q310" s="15" t="s">
        <v>1769</v>
      </c>
      <c r="R310" s="12"/>
      <c r="S310" s="43" t="str">
        <f>_xll.RtGet("IDN",$X310,$S$9)</f>
        <v>#N/A The record could not be found</v>
      </c>
      <c r="T310" s="43" t="str">
        <f>_xll.RtGet("IDN",$X310,$T$9)</f>
        <v>#N/A The record could not be found</v>
      </c>
      <c r="U310" s="25" t="e">
        <f t="shared" si="40"/>
        <v>#DIV/0!</v>
      </c>
      <c r="V310" s="12"/>
      <c r="W310" s="25" t="e">
        <f t="shared" si="41"/>
        <v>#DIV/0!</v>
      </c>
      <c r="X310" s="14" t="str">
        <f t="shared" si="35"/>
        <v>=</v>
      </c>
      <c r="Y310" s="14"/>
      <c r="Z310" s="14"/>
      <c r="AA310" s="14"/>
      <c r="AB310" s="14"/>
      <c r="AC310" s="14"/>
      <c r="AD310" s="34" t="e">
        <f>IF(ISNUMBER($D310),_xll.xlBondYield($F310,$H310,$G310,$J310,$K310,$L310,$M310,$D310,$W310,IF(NOT($H310),TRUE,FALSE)),"")</f>
        <v>#NUM!</v>
      </c>
      <c r="AE310" s="12"/>
      <c r="AF310" s="12"/>
      <c r="AG310" s="12"/>
      <c r="AH310" s="14"/>
      <c r="AI310" s="14"/>
      <c r="AJ310" s="14"/>
      <c r="AK310" s="246" t="e">
        <f>IF(ISNUMBER($D310),_xll.xlBondAswSpread($F310&amp;T(TYPE($AV$1)),$H310,$G310,$J310,$K310,$L310,$M310,$D310,$W310,IF(NOT($H310),TRUE,FALSE),curveName,curveName,,,2),"")</f>
        <v>#NUM!</v>
      </c>
      <c r="AL310" s="213" t="e">
        <f>IF($W310&gt;0,_xll.xlBondZSpread(F310&amp;T(TYPE($AV$1)),H310,G310,J310,K310,L310,M310,D310,U310,"annual",5,IF(NOT($H310),TRUE,FALSE),curveName)*100,"")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4" t="str">
        <f>IF($AN$9+(($AL$9-$AM$9))*('DB Basis'!F470/10-'DB Basis'!E470),," ")</f>
        <v xml:space="preserve"> </v>
      </c>
      <c r="AO310" s="639" t="e">
        <f>IF(U310&gt;0,_xll.xlShmImplSwap2(curveName&amp;T(TYPE($AV$1)),curveName,D310,G310,,1,8,2,4),"")</f>
        <v>#DIV/0!</v>
      </c>
      <c r="AP310" s="640" t="str">
        <f t="shared" si="36"/>
        <v>-</v>
      </c>
      <c r="AQ310" s="386" t="str">
        <f t="shared" si="37"/>
        <v>-</v>
      </c>
      <c r="AR310" s="386" t="str">
        <f t="shared" si="38"/>
        <v>-</v>
      </c>
      <c r="AS310" s="388"/>
      <c r="AT310" s="242" t="str">
        <f t="shared" si="39"/>
        <v>-</v>
      </c>
      <c r="AU310" s="686" t="str">
        <f t="shared" si="42"/>
        <v>#ERROR: Invalid ISIN  #ERROR: Invalid ISIN  #ERROR: Invalid ISIN</v>
      </c>
      <c r="AV310" s="702"/>
      <c r="AW310" s="684"/>
      <c r="AX310" s="684"/>
      <c r="AY310" s="684"/>
      <c r="AZ310" s="684"/>
      <c r="BA310" s="684"/>
      <c r="BC310" s="697"/>
      <c r="BE310" s="706">
        <f>_xll.xlDateShiftMonth(BE309,1)</f>
        <v>52290</v>
      </c>
      <c r="BF310" s="707">
        <v>2.996630031845187E-2</v>
      </c>
      <c r="BU310" s="133" t="s">
        <v>599</v>
      </c>
      <c r="BV310" s="133" t="s">
        <v>599</v>
      </c>
      <c r="BW310" s="133" t="s">
        <v>599</v>
      </c>
      <c r="BX310" s="133" t="s">
        <v>599</v>
      </c>
      <c r="BY310" s="133" t="s">
        <v>599</v>
      </c>
      <c r="BZ310" s="133" t="s">
        <v>599</v>
      </c>
      <c r="CA310" s="133" t="s">
        <v>599</v>
      </c>
      <c r="CB310" s="133" t="s">
        <v>599</v>
      </c>
      <c r="CC310" s="133" t="s">
        <v>599</v>
      </c>
      <c r="CD310" s="133" t="s">
        <v>599</v>
      </c>
      <c r="CE310" s="133" t="s">
        <v>599</v>
      </c>
      <c r="CF310" s="133" t="s">
        <v>599</v>
      </c>
    </row>
    <row r="311" spans="1:84">
      <c r="D311" s="273"/>
      <c r="E311" s="719"/>
      <c r="F311" s="2" t="s">
        <v>1769</v>
      </c>
      <c r="G311" s="3" t="s">
        <v>1769</v>
      </c>
      <c r="H311" s="6" t="s">
        <v>1769</v>
      </c>
      <c r="I311" s="19" t="s">
        <v>1769</v>
      </c>
      <c r="J311" s="19" t="s">
        <v>1769</v>
      </c>
      <c r="K311" s="19" t="s">
        <v>1769</v>
      </c>
      <c r="L311" s="19" t="s">
        <v>1769</v>
      </c>
      <c r="M311" s="1" t="s">
        <v>1769</v>
      </c>
      <c r="N311" s="1" t="s">
        <v>1769</v>
      </c>
      <c r="O311" s="1" t="s">
        <v>1769</v>
      </c>
      <c r="P311" s="1" t="s">
        <v>1769</v>
      </c>
      <c r="Q311" s="1" t="s">
        <v>1769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4"/>
      <c r="AO311" s="252"/>
      <c r="AP311" s="255"/>
      <c r="AQ311" s="387"/>
      <c r="AR311" s="386" t="str">
        <f t="shared" si="38"/>
        <v>-</v>
      </c>
      <c r="AS311" s="388"/>
      <c r="AT311" s="242"/>
      <c r="AU311" s="686" t="str">
        <f t="shared" ref="AU311:AU327" si="43">F311&amp;"  "&amp;TEXT(G311,"dd-mmm-yy")&amp;"  "&amp;H311</f>
        <v>#ERROR: Invalid ISIN  #ERROR: Invalid ISIN  #ERROR: Invalid ISIN</v>
      </c>
      <c r="AV311" s="702"/>
      <c r="AW311" s="684"/>
      <c r="AX311" s="684"/>
      <c r="AY311" s="684"/>
      <c r="AZ311" s="684"/>
      <c r="BA311" s="684"/>
      <c r="BE311" s="706">
        <f>_xll.xlDateShiftMonth(BE310,1)</f>
        <v>52318</v>
      </c>
      <c r="BF311" s="707">
        <v>3.0047035787432536E-2</v>
      </c>
      <c r="BU311" s="133" t="s">
        <v>599</v>
      </c>
      <c r="BV311" s="133" t="s">
        <v>599</v>
      </c>
      <c r="BW311" s="133" t="s">
        <v>599</v>
      </c>
      <c r="BX311" s="133" t="s">
        <v>599</v>
      </c>
      <c r="BY311" s="133" t="s">
        <v>599</v>
      </c>
      <c r="BZ311" s="133" t="s">
        <v>599</v>
      </c>
      <c r="CA311" s="133" t="s">
        <v>599</v>
      </c>
      <c r="CB311" s="133" t="s">
        <v>599</v>
      </c>
      <c r="CC311" s="133" t="s">
        <v>599</v>
      </c>
      <c r="CD311" s="133" t="s">
        <v>599</v>
      </c>
      <c r="CE311" s="133" t="s">
        <v>599</v>
      </c>
      <c r="CF311" s="133" t="s">
        <v>599</v>
      </c>
    </row>
    <row r="312" spans="1:84">
      <c r="D312" s="273"/>
      <c r="E312" s="719"/>
      <c r="F312" s="2" t="s">
        <v>1769</v>
      </c>
      <c r="G312" s="3" t="s">
        <v>1769</v>
      </c>
      <c r="H312" s="6" t="s">
        <v>1769</v>
      </c>
      <c r="I312" s="19" t="s">
        <v>1769</v>
      </c>
      <c r="J312" s="19" t="s">
        <v>1769</v>
      </c>
      <c r="K312" s="19" t="s">
        <v>1769</v>
      </c>
      <c r="L312" s="19" t="s">
        <v>1769</v>
      </c>
      <c r="M312" s="1" t="s">
        <v>1769</v>
      </c>
      <c r="N312" s="1" t="s">
        <v>1769</v>
      </c>
      <c r="O312" s="1" t="s">
        <v>1769</v>
      </c>
      <c r="P312" s="1" t="s">
        <v>1769</v>
      </c>
      <c r="Q312" s="1" t="s">
        <v>1769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4"/>
      <c r="AO312" s="252"/>
      <c r="AP312" s="255"/>
      <c r="AQ312" s="387"/>
      <c r="AR312" s="386" t="str">
        <f t="shared" si="38"/>
        <v>-</v>
      </c>
      <c r="AS312" s="388"/>
      <c r="AT312" s="242"/>
      <c r="AU312" s="686" t="str">
        <f t="shared" si="43"/>
        <v>#ERROR: Invalid ISIN  #ERROR: Invalid ISIN  #ERROR: Invalid ISIN</v>
      </c>
      <c r="AV312" s="702"/>
      <c r="AW312" s="684"/>
      <c r="AX312" s="684"/>
      <c r="AY312" s="684"/>
      <c r="AZ312" s="684"/>
      <c r="BA312" s="684"/>
      <c r="BE312" s="706">
        <f>_xll.xlDateShiftMonth(BE311,1)</f>
        <v>52349</v>
      </c>
      <c r="BF312" s="707">
        <v>3.0137872402949746E-2</v>
      </c>
      <c r="BU312" s="133" t="s">
        <v>599</v>
      </c>
      <c r="BV312" s="133" t="s">
        <v>599</v>
      </c>
      <c r="BW312" s="133" t="s">
        <v>599</v>
      </c>
      <c r="BX312" s="133" t="s">
        <v>599</v>
      </c>
      <c r="BY312" s="133" t="s">
        <v>599</v>
      </c>
      <c r="BZ312" s="133" t="s">
        <v>599</v>
      </c>
      <c r="CA312" s="133" t="s">
        <v>599</v>
      </c>
      <c r="CB312" s="133" t="s">
        <v>599</v>
      </c>
      <c r="CC312" s="133" t="s">
        <v>599</v>
      </c>
      <c r="CD312" s="133" t="s">
        <v>599</v>
      </c>
      <c r="CE312" s="133" t="s">
        <v>599</v>
      </c>
      <c r="CF312" s="133" t="s">
        <v>599</v>
      </c>
    </row>
    <row r="313" spans="1:84">
      <c r="D313" s="273"/>
      <c r="E313" s="719"/>
      <c r="F313" s="2" t="s">
        <v>1769</v>
      </c>
      <c r="G313" s="3" t="s">
        <v>1769</v>
      </c>
      <c r="H313" s="6" t="s">
        <v>1769</v>
      </c>
      <c r="I313" s="19" t="s">
        <v>1769</v>
      </c>
      <c r="J313" s="19" t="s">
        <v>1769</v>
      </c>
      <c r="K313" s="19" t="s">
        <v>1769</v>
      </c>
      <c r="L313" s="19" t="s">
        <v>1769</v>
      </c>
      <c r="M313" s="1" t="s">
        <v>1769</v>
      </c>
      <c r="N313" s="1" t="s">
        <v>1769</v>
      </c>
      <c r="O313" s="1" t="s">
        <v>1769</v>
      </c>
      <c r="P313" s="1" t="s">
        <v>1769</v>
      </c>
      <c r="Q313" s="1" t="s">
        <v>1769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4"/>
      <c r="AO313" s="252"/>
      <c r="AP313" s="255"/>
      <c r="AQ313" s="387"/>
      <c r="AR313" s="386" t="str">
        <f t="shared" si="38"/>
        <v>-</v>
      </c>
      <c r="AS313" s="388"/>
      <c r="AT313" s="242"/>
      <c r="AU313" s="686" t="str">
        <f t="shared" si="43"/>
        <v>#ERROR: Invalid ISIN  #ERROR: Invalid ISIN  #ERROR: Invalid ISIN</v>
      </c>
      <c r="AV313" s="702"/>
      <c r="AW313" s="684"/>
      <c r="AX313" s="684"/>
      <c r="AY313" s="684"/>
      <c r="AZ313" s="684"/>
      <c r="BA313" s="684"/>
      <c r="BE313" s="706">
        <f>_xll.xlDateShiftMonth(BE312,1)</f>
        <v>52379</v>
      </c>
      <c r="BF313" s="707">
        <v>3.0227249682698971E-2</v>
      </c>
      <c r="BU313" s="133" t="s">
        <v>599</v>
      </c>
      <c r="BV313" s="133" t="s">
        <v>599</v>
      </c>
      <c r="BW313" s="133" t="s">
        <v>599</v>
      </c>
      <c r="BX313" s="133" t="s">
        <v>599</v>
      </c>
      <c r="BY313" s="133" t="s">
        <v>599</v>
      </c>
      <c r="BZ313" s="133" t="s">
        <v>599</v>
      </c>
      <c r="CA313" s="133" t="s">
        <v>599</v>
      </c>
      <c r="CB313" s="133" t="s">
        <v>599</v>
      </c>
      <c r="CC313" s="133" t="s">
        <v>599</v>
      </c>
      <c r="CD313" s="133" t="s">
        <v>599</v>
      </c>
      <c r="CE313" s="133" t="s">
        <v>599</v>
      </c>
      <c r="CF313" s="133" t="s">
        <v>599</v>
      </c>
    </row>
    <row r="314" spans="1:84">
      <c r="D314" s="273"/>
      <c r="E314" s="719"/>
      <c r="F314" s="2" t="s">
        <v>1769</v>
      </c>
      <c r="G314" s="3" t="s">
        <v>1769</v>
      </c>
      <c r="H314" s="6" t="s">
        <v>1769</v>
      </c>
      <c r="I314" s="19" t="s">
        <v>1769</v>
      </c>
      <c r="J314" s="19" t="s">
        <v>1769</v>
      </c>
      <c r="K314" s="19" t="s">
        <v>1769</v>
      </c>
      <c r="L314" s="19" t="s">
        <v>1769</v>
      </c>
      <c r="M314" s="1" t="s">
        <v>1769</v>
      </c>
      <c r="N314" s="1" t="s">
        <v>1769</v>
      </c>
      <c r="O314" s="1" t="s">
        <v>1769</v>
      </c>
      <c r="P314" s="1" t="s">
        <v>1769</v>
      </c>
      <c r="Q314" s="1" t="s">
        <v>1769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4"/>
      <c r="AO314" s="252"/>
      <c r="AP314" s="255"/>
      <c r="AQ314" s="387"/>
      <c r="AR314" s="386" t="str">
        <f t="shared" si="38"/>
        <v>-</v>
      </c>
      <c r="AS314" s="388"/>
      <c r="AT314" s="242"/>
      <c r="AU314" s="686" t="str">
        <f t="shared" si="43"/>
        <v>#ERROR: Invalid ISIN  #ERROR: Invalid ISIN  #ERROR: Invalid ISIN</v>
      </c>
      <c r="AV314" s="702"/>
      <c r="AW314" s="684"/>
      <c r="AX314" s="684"/>
      <c r="AY314" s="684"/>
      <c r="AZ314" s="684"/>
      <c r="BA314" s="684"/>
      <c r="BE314" s="706">
        <f>_xll.xlDateShiftMonth(BE313,1)</f>
        <v>52410</v>
      </c>
      <c r="BF314" s="707">
        <v>3.032114658512039E-2</v>
      </c>
      <c r="BU314" s="133" t="s">
        <v>599</v>
      </c>
      <c r="BV314" s="133" t="s">
        <v>599</v>
      </c>
      <c r="BW314" s="133" t="s">
        <v>599</v>
      </c>
      <c r="BX314" s="133" t="s">
        <v>599</v>
      </c>
      <c r="BY314" s="133" t="s">
        <v>599</v>
      </c>
      <c r="BZ314" s="133" t="s">
        <v>599</v>
      </c>
      <c r="CA314" s="133" t="s">
        <v>599</v>
      </c>
      <c r="CB314" s="133" t="s">
        <v>599</v>
      </c>
      <c r="CC314" s="133" t="s">
        <v>599</v>
      </c>
      <c r="CD314" s="133" t="s">
        <v>599</v>
      </c>
      <c r="CE314" s="133" t="s">
        <v>599</v>
      </c>
      <c r="CF314" s="133" t="s">
        <v>599</v>
      </c>
    </row>
    <row r="315" spans="1:84">
      <c r="D315" s="273"/>
      <c r="E315" s="719"/>
      <c r="F315" s="2" t="s">
        <v>1769</v>
      </c>
      <c r="G315" s="3" t="s">
        <v>1769</v>
      </c>
      <c r="H315" s="6" t="s">
        <v>1769</v>
      </c>
      <c r="I315" s="19" t="s">
        <v>1769</v>
      </c>
      <c r="J315" s="19" t="s">
        <v>1769</v>
      </c>
      <c r="K315" s="19" t="s">
        <v>1769</v>
      </c>
      <c r="L315" s="19" t="s">
        <v>1769</v>
      </c>
      <c r="M315" s="1" t="s">
        <v>1769</v>
      </c>
      <c r="N315" s="1" t="s">
        <v>1769</v>
      </c>
      <c r="O315" s="1" t="s">
        <v>1769</v>
      </c>
      <c r="P315" s="1" t="s">
        <v>1769</v>
      </c>
      <c r="Q315" s="1" t="s">
        <v>1769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4"/>
      <c r="AO315" s="252"/>
      <c r="AP315" s="255"/>
      <c r="AQ315" s="387"/>
      <c r="AR315" s="386" t="str">
        <f t="shared" si="38"/>
        <v>-</v>
      </c>
      <c r="AS315" s="388"/>
      <c r="AT315" s="242"/>
      <c r="AU315" s="686" t="str">
        <f t="shared" si="43"/>
        <v>#ERROR: Invalid ISIN  #ERROR: Invalid ISIN  #ERROR: Invalid ISIN</v>
      </c>
      <c r="AV315" s="702"/>
      <c r="AW315" s="684"/>
      <c r="AX315" s="684"/>
      <c r="AY315" s="684"/>
      <c r="AZ315" s="684"/>
      <c r="BA315" s="684"/>
      <c r="BE315" s="706">
        <f>_xll.xlDateShiftMonth(BE314,1)</f>
        <v>52440</v>
      </c>
      <c r="BF315" s="707">
        <v>3.0413524842886432E-2</v>
      </c>
      <c r="BU315" s="133" t="s">
        <v>599</v>
      </c>
      <c r="BV315" s="133" t="s">
        <v>599</v>
      </c>
      <c r="BW315" s="133" t="s">
        <v>599</v>
      </c>
      <c r="BX315" s="133" t="s">
        <v>599</v>
      </c>
      <c r="BY315" s="133" t="s">
        <v>599</v>
      </c>
      <c r="BZ315" s="133" t="s">
        <v>599</v>
      </c>
      <c r="CA315" s="133" t="s">
        <v>599</v>
      </c>
      <c r="CB315" s="133" t="s">
        <v>599</v>
      </c>
      <c r="CC315" s="133" t="s">
        <v>599</v>
      </c>
      <c r="CD315" s="133" t="s">
        <v>599</v>
      </c>
      <c r="CE315" s="133" t="s">
        <v>599</v>
      </c>
      <c r="CF315" s="133" t="s">
        <v>599</v>
      </c>
    </row>
    <row r="316" spans="1:84">
      <c r="D316" s="273"/>
      <c r="E316" s="719"/>
      <c r="F316" s="2" t="s">
        <v>1769</v>
      </c>
      <c r="G316" s="3" t="s">
        <v>1769</v>
      </c>
      <c r="H316" s="6" t="s">
        <v>1769</v>
      </c>
      <c r="I316" s="19" t="s">
        <v>1769</v>
      </c>
      <c r="J316" s="19" t="s">
        <v>1769</v>
      </c>
      <c r="K316" s="19" t="s">
        <v>1769</v>
      </c>
      <c r="L316" s="19" t="s">
        <v>1769</v>
      </c>
      <c r="M316" s="1" t="s">
        <v>1769</v>
      </c>
      <c r="N316" s="1" t="s">
        <v>1769</v>
      </c>
      <c r="O316" s="1" t="s">
        <v>1769</v>
      </c>
      <c r="P316" s="1" t="s">
        <v>1769</v>
      </c>
      <c r="Q316" s="1" t="s">
        <v>1769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4"/>
      <c r="AO316" s="252"/>
      <c r="AP316" s="255"/>
      <c r="AQ316" s="387"/>
      <c r="AR316" s="386" t="str">
        <f t="shared" si="38"/>
        <v>-</v>
      </c>
      <c r="AS316" s="388"/>
      <c r="AT316" s="242"/>
      <c r="AU316" s="686" t="str">
        <f t="shared" si="43"/>
        <v>#ERROR: Invalid ISIN  #ERROR: Invalid ISIN  #ERROR: Invalid ISIN</v>
      </c>
      <c r="AV316" s="702"/>
      <c r="AW316" s="684"/>
      <c r="AX316" s="684"/>
      <c r="AY316" s="684"/>
      <c r="AZ316" s="684"/>
      <c r="BA316" s="684"/>
      <c r="BE316" s="706">
        <f>_xll.xlDateShiftMonth(BE315,1)</f>
        <v>52471</v>
      </c>
      <c r="BF316" s="707">
        <v>3.0510563479638389E-2</v>
      </c>
      <c r="BU316" s="133" t="s">
        <v>599</v>
      </c>
      <c r="BV316" s="133" t="s">
        <v>599</v>
      </c>
      <c r="BW316" s="133" t="s">
        <v>599</v>
      </c>
      <c r="BX316" s="133" t="s">
        <v>599</v>
      </c>
      <c r="BY316" s="133" t="s">
        <v>599</v>
      </c>
      <c r="BZ316" s="133" t="s">
        <v>599</v>
      </c>
      <c r="CA316" s="133" t="s">
        <v>599</v>
      </c>
      <c r="CB316" s="133" t="s">
        <v>599</v>
      </c>
      <c r="CC316" s="133" t="s">
        <v>599</v>
      </c>
      <c r="CD316" s="133" t="s">
        <v>599</v>
      </c>
      <c r="CE316" s="133" t="s">
        <v>599</v>
      </c>
      <c r="CF316" s="133" t="s">
        <v>599</v>
      </c>
    </row>
    <row r="317" spans="1:84">
      <c r="D317" s="273"/>
      <c r="E317" s="719"/>
      <c r="F317" s="2" t="s">
        <v>1769</v>
      </c>
      <c r="G317" s="3" t="s">
        <v>1769</v>
      </c>
      <c r="H317" s="6" t="s">
        <v>1769</v>
      </c>
      <c r="I317" s="19" t="s">
        <v>1769</v>
      </c>
      <c r="J317" s="19" t="s">
        <v>1769</v>
      </c>
      <c r="K317" s="19" t="s">
        <v>1769</v>
      </c>
      <c r="L317" s="19" t="s">
        <v>1769</v>
      </c>
      <c r="M317" s="1" t="s">
        <v>1769</v>
      </c>
      <c r="N317" s="1" t="s">
        <v>1769</v>
      </c>
      <c r="O317" s="1" t="s">
        <v>1769</v>
      </c>
      <c r="P317" s="1" t="s">
        <v>1769</v>
      </c>
      <c r="Q317" s="1" t="s">
        <v>1769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4"/>
      <c r="AO317" s="252"/>
      <c r="AP317" s="255"/>
      <c r="AQ317" s="387"/>
      <c r="AR317" s="386" t="str">
        <f t="shared" si="38"/>
        <v>-</v>
      </c>
      <c r="AS317" s="388"/>
      <c r="AT317" s="242"/>
      <c r="AU317" s="686" t="str">
        <f t="shared" si="43"/>
        <v>#ERROR: Invalid ISIN  #ERROR: Invalid ISIN  #ERROR: Invalid ISIN</v>
      </c>
      <c r="AV317" s="702"/>
      <c r="BE317" s="706">
        <f>_xll.xlDateShiftMonth(BE316,1)</f>
        <v>52502</v>
      </c>
      <c r="BF317" s="707">
        <v>3.0609229948599163E-2</v>
      </c>
      <c r="BU317" s="133" t="s">
        <v>599</v>
      </c>
      <c r="BV317" s="133" t="s">
        <v>599</v>
      </c>
      <c r="BW317" s="133" t="s">
        <v>599</v>
      </c>
      <c r="BX317" s="133" t="s">
        <v>599</v>
      </c>
      <c r="BY317" s="133" t="s">
        <v>599</v>
      </c>
      <c r="BZ317" s="133" t="s">
        <v>599</v>
      </c>
      <c r="CA317" s="133" t="s">
        <v>599</v>
      </c>
      <c r="CB317" s="133" t="s">
        <v>599</v>
      </c>
      <c r="CC317" s="133" t="s">
        <v>599</v>
      </c>
      <c r="CD317" s="133" t="s">
        <v>599</v>
      </c>
      <c r="CE317" s="133" t="s">
        <v>599</v>
      </c>
      <c r="CF317" s="133" t="s">
        <v>599</v>
      </c>
    </row>
    <row r="318" spans="1:84">
      <c r="D318" s="273"/>
      <c r="E318" s="719"/>
      <c r="F318" s="2" t="s">
        <v>1769</v>
      </c>
      <c r="G318" s="3" t="s">
        <v>1769</v>
      </c>
      <c r="H318" s="6" t="s">
        <v>1769</v>
      </c>
      <c r="I318" s="19" t="s">
        <v>1769</v>
      </c>
      <c r="J318" s="19" t="s">
        <v>1769</v>
      </c>
      <c r="K318" s="19" t="s">
        <v>1769</v>
      </c>
      <c r="L318" s="19" t="s">
        <v>1769</v>
      </c>
      <c r="M318" s="1" t="s">
        <v>1769</v>
      </c>
      <c r="N318" s="1" t="s">
        <v>1769</v>
      </c>
      <c r="O318" s="1" t="s">
        <v>1769</v>
      </c>
      <c r="P318" s="1" t="s">
        <v>1769</v>
      </c>
      <c r="Q318" s="1" t="s">
        <v>1769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4"/>
      <c r="AO318" s="252"/>
      <c r="AP318" s="255"/>
      <c r="AQ318" s="387"/>
      <c r="AR318" s="386" t="str">
        <f t="shared" si="38"/>
        <v>-</v>
      </c>
      <c r="AS318" s="388"/>
      <c r="AT318" s="242"/>
      <c r="AU318" s="686" t="str">
        <f t="shared" si="43"/>
        <v>#ERROR: Invalid ISIN  #ERROR: Invalid ISIN  #ERROR: Invalid ISIN</v>
      </c>
      <c r="AV318" s="702"/>
      <c r="BE318" s="706">
        <f>_xll.xlDateShiftMonth(BE317,1)</f>
        <v>52532</v>
      </c>
      <c r="BF318" s="707">
        <v>3.0706283354020075E-2</v>
      </c>
      <c r="BU318" s="133" t="s">
        <v>599</v>
      </c>
      <c r="BV318" s="133" t="s">
        <v>599</v>
      </c>
      <c r="BW318" s="133" t="s">
        <v>599</v>
      </c>
      <c r="BX318" s="133" t="s">
        <v>599</v>
      </c>
      <c r="BY318" s="133" t="s">
        <v>599</v>
      </c>
      <c r="BZ318" s="133" t="s">
        <v>599</v>
      </c>
      <c r="CA318" s="133" t="s">
        <v>599</v>
      </c>
      <c r="CB318" s="133" t="s">
        <v>599</v>
      </c>
      <c r="CC318" s="133" t="s">
        <v>599</v>
      </c>
      <c r="CD318" s="133" t="s">
        <v>599</v>
      </c>
      <c r="CE318" s="133" t="s">
        <v>599</v>
      </c>
      <c r="CF318" s="133" t="s">
        <v>599</v>
      </c>
    </row>
    <row r="319" spans="1:84">
      <c r="D319" s="273"/>
      <c r="E319" s="719"/>
      <c r="F319" s="2" t="s">
        <v>1769</v>
      </c>
      <c r="G319" s="3" t="s">
        <v>1769</v>
      </c>
      <c r="H319" s="6" t="s">
        <v>1769</v>
      </c>
      <c r="I319" s="19" t="s">
        <v>1769</v>
      </c>
      <c r="J319" s="19" t="s">
        <v>1769</v>
      </c>
      <c r="K319" s="19" t="s">
        <v>1769</v>
      </c>
      <c r="L319" s="19" t="s">
        <v>1769</v>
      </c>
      <c r="M319" s="1" t="s">
        <v>1769</v>
      </c>
      <c r="N319" s="1" t="s">
        <v>1769</v>
      </c>
      <c r="O319" s="1" t="s">
        <v>1769</v>
      </c>
      <c r="P319" s="1" t="s">
        <v>1769</v>
      </c>
      <c r="Q319" s="1" t="s">
        <v>1769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4"/>
      <c r="AO319" s="252"/>
      <c r="AP319" s="255"/>
      <c r="AQ319" s="387"/>
      <c r="AR319" s="386" t="str">
        <f t="shared" si="38"/>
        <v>-</v>
      </c>
      <c r="AS319" s="388"/>
      <c r="AT319" s="242"/>
      <c r="AU319" s="686" t="str">
        <f t="shared" si="43"/>
        <v>#ERROR: Invalid ISIN  #ERROR: Invalid ISIN  #ERROR: Invalid ISIN</v>
      </c>
      <c r="AV319" s="702"/>
      <c r="BE319" s="706">
        <f>_xll.xlDateShiftMonth(BE318,1)</f>
        <v>52563</v>
      </c>
      <c r="BF319" s="707">
        <v>3.080821439605274E-2</v>
      </c>
      <c r="BU319" s="133" t="s">
        <v>599</v>
      </c>
      <c r="BV319" s="133" t="s">
        <v>599</v>
      </c>
      <c r="BW319" s="133" t="s">
        <v>599</v>
      </c>
      <c r="BX319" s="133" t="s">
        <v>599</v>
      </c>
      <c r="BY319" s="133" t="s">
        <v>599</v>
      </c>
      <c r="BZ319" s="133" t="s">
        <v>599</v>
      </c>
      <c r="CA319" s="133" t="s">
        <v>599</v>
      </c>
      <c r="CB319" s="133" t="s">
        <v>599</v>
      </c>
      <c r="CC319" s="133" t="s">
        <v>599</v>
      </c>
      <c r="CD319" s="133" t="s">
        <v>599</v>
      </c>
      <c r="CE319" s="133" t="s">
        <v>599</v>
      </c>
      <c r="CF319" s="133" t="s">
        <v>599</v>
      </c>
    </row>
    <row r="320" spans="1:84">
      <c r="D320" s="273"/>
      <c r="E320" s="719"/>
      <c r="F320" s="2" t="s">
        <v>1769</v>
      </c>
      <c r="G320" s="3" t="s">
        <v>1769</v>
      </c>
      <c r="H320" s="6" t="s">
        <v>1769</v>
      </c>
      <c r="I320" s="19" t="s">
        <v>1769</v>
      </c>
      <c r="J320" s="19" t="s">
        <v>1769</v>
      </c>
      <c r="K320" s="19" t="s">
        <v>1769</v>
      </c>
      <c r="L320" s="19" t="s">
        <v>1769</v>
      </c>
      <c r="M320" s="1" t="s">
        <v>1769</v>
      </c>
      <c r="N320" s="1" t="s">
        <v>1769</v>
      </c>
      <c r="O320" s="1" t="s">
        <v>1769</v>
      </c>
      <c r="P320" s="1" t="s">
        <v>1769</v>
      </c>
      <c r="Q320" s="1" t="s">
        <v>1769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4"/>
      <c r="AO320" s="266"/>
      <c r="AP320" s="255"/>
      <c r="AQ320" s="387"/>
      <c r="AR320" s="386" t="str">
        <f t="shared" si="38"/>
        <v>-</v>
      </c>
      <c r="AS320" s="388"/>
      <c r="AT320" s="242"/>
      <c r="AU320" s="686" t="str">
        <f t="shared" si="43"/>
        <v>#ERROR: Invalid ISIN  #ERROR: Invalid ISIN  #ERROR: Invalid ISIN</v>
      </c>
      <c r="AV320" s="702"/>
      <c r="BE320" s="706">
        <f>_xll.xlDateShiftMonth(BE319,1)</f>
        <v>52593</v>
      </c>
      <c r="BF320" s="707">
        <v>3.0908466475781778E-2</v>
      </c>
      <c r="BU320" s="133" t="s">
        <v>599</v>
      </c>
      <c r="BV320" s="133" t="s">
        <v>599</v>
      </c>
      <c r="BW320" s="133" t="s">
        <v>599</v>
      </c>
      <c r="BX320" s="133" t="s">
        <v>599</v>
      </c>
      <c r="BY320" s="133" t="s">
        <v>599</v>
      </c>
      <c r="BZ320" s="133" t="s">
        <v>599</v>
      </c>
      <c r="CA320" s="133" t="s">
        <v>599</v>
      </c>
      <c r="CB320" s="133" t="s">
        <v>599</v>
      </c>
      <c r="CC320" s="133" t="s">
        <v>599</v>
      </c>
      <c r="CD320" s="133" t="s">
        <v>599</v>
      </c>
      <c r="CE320" s="133" t="s">
        <v>599</v>
      </c>
      <c r="CF320" s="133" t="s">
        <v>599</v>
      </c>
    </row>
    <row r="321" spans="4:84">
      <c r="D321" s="273"/>
      <c r="E321" s="719"/>
      <c r="F321" s="2" t="s">
        <v>1769</v>
      </c>
      <c r="G321" s="3" t="s">
        <v>1769</v>
      </c>
      <c r="H321" s="6" t="s">
        <v>1769</v>
      </c>
      <c r="I321" s="19" t="s">
        <v>1769</v>
      </c>
      <c r="J321" s="19" t="s">
        <v>1769</v>
      </c>
      <c r="K321" s="19" t="s">
        <v>1769</v>
      </c>
      <c r="L321" s="19" t="s">
        <v>1769</v>
      </c>
      <c r="M321" s="1" t="s">
        <v>1769</v>
      </c>
      <c r="N321" s="1" t="s">
        <v>1769</v>
      </c>
      <c r="O321" s="1" t="s">
        <v>1769</v>
      </c>
      <c r="P321" s="1" t="s">
        <v>1769</v>
      </c>
      <c r="Q321" s="1" t="s">
        <v>1769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4"/>
      <c r="AO321" s="266"/>
      <c r="AP321" s="255"/>
      <c r="AQ321" s="387"/>
      <c r="AR321" s="386" t="str">
        <f t="shared" si="38"/>
        <v>-</v>
      </c>
      <c r="AS321" s="388"/>
      <c r="AT321" s="242"/>
      <c r="AU321" s="686" t="str">
        <f t="shared" si="43"/>
        <v>#ERROR: Invalid ISIN  #ERROR: Invalid ISIN  #ERROR: Invalid ISIN</v>
      </c>
      <c r="AV321" s="702"/>
      <c r="BE321" s="706">
        <f>_xll.xlDateShiftMonth(BE320,1)</f>
        <v>52624</v>
      </c>
      <c r="BF321" s="707">
        <v>3.1013743538312676E-2</v>
      </c>
      <c r="BU321" s="133" t="s">
        <v>599</v>
      </c>
      <c r="BV321" s="133" t="s">
        <v>599</v>
      </c>
      <c r="BW321" s="133" t="s">
        <v>599</v>
      </c>
      <c r="BX321" s="133" t="s">
        <v>599</v>
      </c>
      <c r="BY321" s="133" t="s">
        <v>599</v>
      </c>
      <c r="BZ321" s="133" t="s">
        <v>599</v>
      </c>
      <c r="CA321" s="133" t="s">
        <v>599</v>
      </c>
      <c r="CB321" s="133" t="s">
        <v>599</v>
      </c>
      <c r="CC321" s="133" t="s">
        <v>599</v>
      </c>
      <c r="CD321" s="133" t="s">
        <v>599</v>
      </c>
      <c r="CE321" s="133" t="s">
        <v>599</v>
      </c>
      <c r="CF321" s="133" t="s">
        <v>599</v>
      </c>
    </row>
    <row r="322" spans="4:84">
      <c r="D322" s="273"/>
      <c r="E322" s="719"/>
      <c r="F322" s="2" t="s">
        <v>1769</v>
      </c>
      <c r="G322" s="3" t="s">
        <v>1769</v>
      </c>
      <c r="H322" s="6" t="s">
        <v>1769</v>
      </c>
      <c r="I322" s="19" t="s">
        <v>1769</v>
      </c>
      <c r="J322" s="19" t="s">
        <v>1769</v>
      </c>
      <c r="K322" s="19" t="s">
        <v>1769</v>
      </c>
      <c r="L322" s="19" t="s">
        <v>1769</v>
      </c>
      <c r="M322" s="1" t="s">
        <v>1769</v>
      </c>
      <c r="N322" s="1" t="s">
        <v>1769</v>
      </c>
      <c r="O322" s="1" t="s">
        <v>1769</v>
      </c>
      <c r="P322" s="1" t="s">
        <v>1769</v>
      </c>
      <c r="Q322" s="1" t="s">
        <v>1769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4"/>
      <c r="AO322" s="266"/>
      <c r="AP322" s="255"/>
      <c r="AQ322" s="387"/>
      <c r="AR322" s="386" t="str">
        <f t="shared" si="38"/>
        <v>-</v>
      </c>
      <c r="AS322" s="388"/>
      <c r="AU322" s="686" t="str">
        <f t="shared" si="43"/>
        <v>#ERROR: Invalid ISIN  #ERROR: Invalid ISIN  #ERROR: Invalid ISIN</v>
      </c>
      <c r="AV322" s="702"/>
      <c r="BE322" s="706">
        <f>_xll.xlDateShiftMonth(BE321,1)</f>
        <v>52655</v>
      </c>
      <c r="BF322" s="707">
        <v>3.1120752250613018E-2</v>
      </c>
      <c r="BU322" s="133" t="s">
        <v>599</v>
      </c>
      <c r="BV322" s="133" t="s">
        <v>599</v>
      </c>
      <c r="BW322" s="133" t="s">
        <v>599</v>
      </c>
      <c r="BX322" s="133" t="s">
        <v>599</v>
      </c>
      <c r="BY322" s="133" t="s">
        <v>599</v>
      </c>
      <c r="BZ322" s="133" t="s">
        <v>599</v>
      </c>
      <c r="CA322" s="133" t="s">
        <v>599</v>
      </c>
      <c r="CB322" s="133" t="s">
        <v>599</v>
      </c>
      <c r="CC322" s="133" t="s">
        <v>599</v>
      </c>
      <c r="CD322" s="133" t="s">
        <v>599</v>
      </c>
      <c r="CE322" s="133" t="s">
        <v>599</v>
      </c>
      <c r="CF322" s="133" t="s">
        <v>599</v>
      </c>
    </row>
    <row r="323" spans="4:84">
      <c r="D323" s="273"/>
      <c r="E323" s="719"/>
      <c r="F323" s="2" t="s">
        <v>1769</v>
      </c>
      <c r="G323" s="3" t="s">
        <v>1769</v>
      </c>
      <c r="H323" s="6" t="s">
        <v>1769</v>
      </c>
      <c r="I323" s="19" t="s">
        <v>1769</v>
      </c>
      <c r="J323" s="19" t="s">
        <v>1769</v>
      </c>
      <c r="K323" s="19" t="s">
        <v>1769</v>
      </c>
      <c r="L323" s="19" t="s">
        <v>1769</v>
      </c>
      <c r="M323" s="1" t="s">
        <v>1769</v>
      </c>
      <c r="N323" s="1" t="s">
        <v>1769</v>
      </c>
      <c r="O323" s="1" t="s">
        <v>1769</v>
      </c>
      <c r="P323" s="1" t="s">
        <v>1769</v>
      </c>
      <c r="Q323" s="1" t="s">
        <v>1769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4"/>
      <c r="AO323" s="266"/>
      <c r="AP323" s="255"/>
      <c r="AQ323" s="387"/>
      <c r="AR323" s="386" t="str">
        <f t="shared" si="38"/>
        <v>-</v>
      </c>
      <c r="AS323" s="388"/>
      <c r="AU323" s="686" t="str">
        <f t="shared" si="43"/>
        <v>#ERROR: Invalid ISIN  #ERROR: Invalid ISIN  #ERROR: Invalid ISIN</v>
      </c>
      <c r="AV323" s="702"/>
      <c r="BE323" s="706">
        <f>_xll.xlDateShiftMonth(BE322,1)</f>
        <v>52684</v>
      </c>
      <c r="BF323" s="707">
        <v>3.1222443483173129E-2</v>
      </c>
      <c r="BU323" s="133" t="s">
        <v>599</v>
      </c>
      <c r="BV323" s="133" t="s">
        <v>599</v>
      </c>
      <c r="BW323" s="133" t="s">
        <v>599</v>
      </c>
      <c r="BX323" s="133" t="s">
        <v>599</v>
      </c>
      <c r="BY323" s="133" t="s">
        <v>599</v>
      </c>
      <c r="BZ323" s="133" t="s">
        <v>599</v>
      </c>
      <c r="CA323" s="133" t="s">
        <v>599</v>
      </c>
      <c r="CB323" s="133" t="s">
        <v>599</v>
      </c>
      <c r="CC323" s="133" t="s">
        <v>599</v>
      </c>
      <c r="CD323" s="133" t="s">
        <v>599</v>
      </c>
      <c r="CE323" s="133" t="s">
        <v>599</v>
      </c>
      <c r="CF323" s="133" t="s">
        <v>599</v>
      </c>
    </row>
    <row r="324" spans="4:84">
      <c r="D324" s="273"/>
      <c r="E324" s="719"/>
      <c r="F324" s="2" t="s">
        <v>1769</v>
      </c>
      <c r="G324" s="3" t="s">
        <v>1769</v>
      </c>
      <c r="H324" s="6" t="s">
        <v>1769</v>
      </c>
      <c r="I324" s="19" t="s">
        <v>1769</v>
      </c>
      <c r="J324" s="19" t="s">
        <v>1769</v>
      </c>
      <c r="K324" s="19" t="s">
        <v>1769</v>
      </c>
      <c r="L324" s="19" t="s">
        <v>1769</v>
      </c>
      <c r="M324" s="1" t="s">
        <v>1769</v>
      </c>
      <c r="N324" s="1" t="s">
        <v>1769</v>
      </c>
      <c r="O324" s="1" t="s">
        <v>1769</v>
      </c>
      <c r="P324" s="1" t="s">
        <v>1769</v>
      </c>
      <c r="Q324" s="1" t="s">
        <v>1769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5"/>
      <c r="AO324" s="266"/>
      <c r="AQ324" s="383"/>
      <c r="AR324" s="386" t="str">
        <f t="shared" si="38"/>
        <v>-</v>
      </c>
      <c r="AS324" s="240"/>
      <c r="AU324" s="686" t="str">
        <f t="shared" si="43"/>
        <v>#ERROR: Invalid ISIN  #ERROR: Invalid ISIN  #ERROR: Invalid ISIN</v>
      </c>
      <c r="AV324" s="702"/>
      <c r="BE324" s="706">
        <f>_xll.xlDateShiftMonth(BE323,1)</f>
        <v>52715</v>
      </c>
      <c r="BF324" s="707">
        <v>3.1332863531510581E-2</v>
      </c>
      <c r="BU324" s="133" t="s">
        <v>599</v>
      </c>
      <c r="BV324" s="133" t="s">
        <v>599</v>
      </c>
      <c r="BW324" s="133" t="s">
        <v>599</v>
      </c>
      <c r="BX324" s="133" t="s">
        <v>599</v>
      </c>
      <c r="BY324" s="133" t="s">
        <v>599</v>
      </c>
      <c r="BZ324" s="133" t="s">
        <v>599</v>
      </c>
      <c r="CA324" s="133" t="s">
        <v>599</v>
      </c>
      <c r="CB324" s="133" t="s">
        <v>599</v>
      </c>
      <c r="CC324" s="133" t="s">
        <v>599</v>
      </c>
      <c r="CD324" s="133" t="s">
        <v>599</v>
      </c>
      <c r="CE324" s="133" t="s">
        <v>599</v>
      </c>
      <c r="CF324" s="133" t="s">
        <v>599</v>
      </c>
    </row>
    <row r="325" spans="4:84">
      <c r="D325" s="273"/>
      <c r="E325" s="719"/>
      <c r="F325" s="2" t="s">
        <v>1769</v>
      </c>
      <c r="G325" s="3" t="s">
        <v>1769</v>
      </c>
      <c r="H325" s="6" t="s">
        <v>1769</v>
      </c>
      <c r="I325" s="19" t="s">
        <v>1769</v>
      </c>
      <c r="J325" s="19" t="s">
        <v>1769</v>
      </c>
      <c r="K325" s="19" t="s">
        <v>1769</v>
      </c>
      <c r="L325" s="19" t="s">
        <v>1769</v>
      </c>
      <c r="M325" s="1" t="s">
        <v>1769</v>
      </c>
      <c r="N325" s="1" t="s">
        <v>1769</v>
      </c>
      <c r="O325" s="1" t="s">
        <v>1769</v>
      </c>
      <c r="P325" s="1" t="s">
        <v>1769</v>
      </c>
      <c r="Q325" s="1" t="s">
        <v>1769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5"/>
      <c r="AO325" s="266"/>
      <c r="AQ325" s="383"/>
      <c r="AR325" s="386" t="str">
        <f t="shared" si="38"/>
        <v>-</v>
      </c>
      <c r="AS325" s="240"/>
      <c r="AU325" s="686" t="str">
        <f t="shared" si="43"/>
        <v>#ERROR: Invalid ISIN  #ERROR: Invalid ISIN  #ERROR: Invalid ISIN</v>
      </c>
      <c r="AV325" s="702"/>
      <c r="BE325" s="706">
        <f>_xll.xlDateShiftMonth(BE324,1)</f>
        <v>52745</v>
      </c>
      <c r="BF325" s="707">
        <v>3.1441428980710687E-2</v>
      </c>
      <c r="BU325" s="133" t="s">
        <v>599</v>
      </c>
      <c r="BV325" s="133" t="s">
        <v>599</v>
      </c>
      <c r="BW325" s="133" t="s">
        <v>599</v>
      </c>
      <c r="BX325" s="133" t="s">
        <v>599</v>
      </c>
      <c r="BY325" s="133" t="s">
        <v>599</v>
      </c>
      <c r="BZ325" s="133" t="s">
        <v>599</v>
      </c>
      <c r="CA325" s="133" t="s">
        <v>599</v>
      </c>
      <c r="CB325" s="133" t="s">
        <v>599</v>
      </c>
      <c r="CC325" s="133" t="s">
        <v>599</v>
      </c>
      <c r="CD325" s="133" t="s">
        <v>599</v>
      </c>
      <c r="CE325" s="133" t="s">
        <v>599</v>
      </c>
      <c r="CF325" s="133" t="s">
        <v>599</v>
      </c>
    </row>
    <row r="326" spans="4:84">
      <c r="D326" s="273"/>
      <c r="E326" s="719"/>
      <c r="F326" s="2" t="s">
        <v>1769</v>
      </c>
      <c r="G326" s="3" t="s">
        <v>1769</v>
      </c>
      <c r="H326" s="6" t="s">
        <v>1769</v>
      </c>
      <c r="I326" s="19" t="s">
        <v>1769</v>
      </c>
      <c r="J326" s="19" t="s">
        <v>1769</v>
      </c>
      <c r="K326" s="19" t="s">
        <v>1769</v>
      </c>
      <c r="L326" s="19" t="s">
        <v>1769</v>
      </c>
      <c r="M326" s="1" t="s">
        <v>1769</v>
      </c>
      <c r="N326" s="1" t="s">
        <v>1769</v>
      </c>
      <c r="O326" s="1" t="s">
        <v>1769</v>
      </c>
      <c r="P326" s="1" t="s">
        <v>1769</v>
      </c>
      <c r="Q326" s="1" t="s">
        <v>1769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6"/>
      <c r="AO326" s="266"/>
      <c r="AQ326" s="378"/>
      <c r="AR326" s="386" t="str">
        <f t="shared" si="38"/>
        <v>-</v>
      </c>
      <c r="AS326" s="240"/>
      <c r="AU326" s="686" t="str">
        <f t="shared" si="43"/>
        <v>#ERROR: Invalid ISIN  #ERROR: Invalid ISIN  #ERROR: Invalid ISIN</v>
      </c>
      <c r="AV326" s="702"/>
      <c r="BE326" s="706">
        <f>_xll.xlDateShiftMonth(BE325,1)</f>
        <v>52776</v>
      </c>
      <c r="BF326" s="707">
        <v>3.1555398000510347E-2</v>
      </c>
      <c r="BU326" s="133" t="s">
        <v>599</v>
      </c>
      <c r="BV326" s="133" t="s">
        <v>599</v>
      </c>
      <c r="BW326" s="133" t="s">
        <v>599</v>
      </c>
      <c r="BX326" s="133" t="s">
        <v>599</v>
      </c>
      <c r="BY326" s="133" t="s">
        <v>599</v>
      </c>
      <c r="BZ326" s="133" t="s">
        <v>599</v>
      </c>
      <c r="CA326" s="133" t="s">
        <v>599</v>
      </c>
      <c r="CB326" s="133" t="s">
        <v>599</v>
      </c>
      <c r="CC326" s="133" t="s">
        <v>599</v>
      </c>
      <c r="CD326" s="133" t="s">
        <v>599</v>
      </c>
      <c r="CE326" s="133" t="s">
        <v>599</v>
      </c>
      <c r="CF326" s="133" t="s">
        <v>599</v>
      </c>
    </row>
    <row r="327" spans="4:84">
      <c r="D327" s="273"/>
      <c r="E327" s="719"/>
      <c r="F327" s="2" t="s">
        <v>1769</v>
      </c>
      <c r="G327" s="3" t="s">
        <v>1769</v>
      </c>
      <c r="H327" s="6" t="s">
        <v>1769</v>
      </c>
      <c r="I327" s="19" t="s">
        <v>1769</v>
      </c>
      <c r="J327" s="19" t="s">
        <v>1769</v>
      </c>
      <c r="K327" s="19" t="s">
        <v>1769</v>
      </c>
      <c r="L327" s="19" t="s">
        <v>1769</v>
      </c>
      <c r="M327" s="1" t="s">
        <v>1769</v>
      </c>
      <c r="N327" s="1" t="s">
        <v>1769</v>
      </c>
      <c r="O327" s="1" t="s">
        <v>1769</v>
      </c>
      <c r="P327" s="1" t="s">
        <v>1769</v>
      </c>
      <c r="Q327" s="1" t="s">
        <v>1769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6"/>
      <c r="AO327" s="266"/>
      <c r="AQ327" s="378"/>
      <c r="AR327" s="386" t="str">
        <f t="shared" si="38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686" t="str">
        <f t="shared" si="43"/>
        <v>#ERROR: Invalid ISIN  #ERROR: Invalid ISIN  #ERROR: Invalid ISIN</v>
      </c>
      <c r="AV327" s="702"/>
      <c r="BE327" s="706">
        <f>_xll.xlDateShiftMonth(BE326,1)</f>
        <v>52806</v>
      </c>
      <c r="BF327" s="707">
        <v>3.1667437348267269E-2</v>
      </c>
      <c r="BU327" s="133" t="s">
        <v>599</v>
      </c>
      <c r="BV327" s="133" t="s">
        <v>599</v>
      </c>
      <c r="BW327" s="133" t="s">
        <v>599</v>
      </c>
      <c r="BX327" s="133" t="s">
        <v>599</v>
      </c>
      <c r="BY327" s="133" t="s">
        <v>599</v>
      </c>
      <c r="BZ327" s="133" t="s">
        <v>599</v>
      </c>
      <c r="CA327" s="133" t="s">
        <v>599</v>
      </c>
      <c r="CB327" s="133" t="s">
        <v>599</v>
      </c>
      <c r="CC327" s="133" t="s">
        <v>599</v>
      </c>
      <c r="CD327" s="133" t="s">
        <v>599</v>
      </c>
      <c r="CE327" s="133" t="s">
        <v>599</v>
      </c>
      <c r="CF327" s="133" t="s">
        <v>599</v>
      </c>
    </row>
    <row r="328" spans="4:84">
      <c r="D328" s="273"/>
      <c r="E328" s="719"/>
      <c r="F328" s="2" t="s">
        <v>1769</v>
      </c>
      <c r="G328" s="3" t="s">
        <v>1769</v>
      </c>
      <c r="H328" s="6" t="s">
        <v>1769</v>
      </c>
      <c r="I328" s="1" t="s">
        <v>1769</v>
      </c>
      <c r="J328" s="1" t="s">
        <v>1769</v>
      </c>
      <c r="K328" s="1" t="s">
        <v>1769</v>
      </c>
      <c r="L328" s="1" t="s">
        <v>1769</v>
      </c>
      <c r="M328" s="1" t="s">
        <v>1769</v>
      </c>
      <c r="N328" s="1" t="s">
        <v>1769</v>
      </c>
      <c r="O328" s="1" t="s">
        <v>1769</v>
      </c>
      <c r="P328" s="1" t="s">
        <v>1769</v>
      </c>
      <c r="Q328" s="1" t="s">
        <v>1769</v>
      </c>
      <c r="BE328" s="706">
        <f>_xll.xlDateShiftMonth(BE327,1)</f>
        <v>52837</v>
      </c>
      <c r="BF328" s="707">
        <v>3.1785036786955469E-2</v>
      </c>
      <c r="BU328" s="133" t="s">
        <v>599</v>
      </c>
      <c r="BV328" s="133" t="s">
        <v>599</v>
      </c>
      <c r="BW328" s="133" t="s">
        <v>599</v>
      </c>
      <c r="BX328" s="133" t="s">
        <v>599</v>
      </c>
      <c r="BY328" s="133" t="s">
        <v>599</v>
      </c>
      <c r="BZ328" s="133" t="s">
        <v>599</v>
      </c>
      <c r="CA328" s="133" t="s">
        <v>599</v>
      </c>
      <c r="CB328" s="133" t="s">
        <v>599</v>
      </c>
      <c r="CC328" s="133" t="s">
        <v>599</v>
      </c>
      <c r="CD328" s="133" t="s">
        <v>599</v>
      </c>
      <c r="CE328" s="133" t="s">
        <v>599</v>
      </c>
      <c r="CF328" s="133" t="s">
        <v>599</v>
      </c>
    </row>
    <row r="329" spans="4:84">
      <c r="D329" s="273"/>
      <c r="E329" s="719"/>
      <c r="F329" s="2" t="s">
        <v>1769</v>
      </c>
      <c r="G329" s="3" t="s">
        <v>1769</v>
      </c>
      <c r="H329" s="6" t="s">
        <v>1769</v>
      </c>
      <c r="I329" s="1" t="s">
        <v>1769</v>
      </c>
      <c r="J329" s="1" t="s">
        <v>1769</v>
      </c>
      <c r="K329" s="1" t="s">
        <v>1769</v>
      </c>
      <c r="L329" s="1" t="s">
        <v>1769</v>
      </c>
      <c r="M329" s="1" t="s">
        <v>1769</v>
      </c>
      <c r="N329" s="1" t="s">
        <v>1769</v>
      </c>
      <c r="O329" s="1" t="s">
        <v>1769</v>
      </c>
      <c r="P329" s="1" t="s">
        <v>1769</v>
      </c>
      <c r="Q329" s="1" t="s">
        <v>1769</v>
      </c>
      <c r="BE329" s="706">
        <f>_xll.xlDateShiftMonth(BE328,1)</f>
        <v>52868</v>
      </c>
      <c r="BF329" s="707">
        <v>3.1904512405742616E-2</v>
      </c>
      <c r="BU329" s="133" t="s">
        <v>599</v>
      </c>
      <c r="BV329" s="133" t="s">
        <v>599</v>
      </c>
      <c r="BW329" s="133" t="s">
        <v>599</v>
      </c>
      <c r="BX329" s="133" t="s">
        <v>599</v>
      </c>
      <c r="BY329" s="133" t="s">
        <v>599</v>
      </c>
      <c r="BZ329" s="133" t="s">
        <v>599</v>
      </c>
      <c r="CA329" s="133" t="s">
        <v>599</v>
      </c>
      <c r="CB329" s="133" t="s">
        <v>599</v>
      </c>
      <c r="CC329" s="133" t="s">
        <v>599</v>
      </c>
      <c r="CD329" s="133" t="s">
        <v>599</v>
      </c>
      <c r="CE329" s="133" t="s">
        <v>599</v>
      </c>
      <c r="CF329" s="133" t="s">
        <v>599</v>
      </c>
    </row>
    <row r="330" spans="4:84">
      <c r="D330" s="273"/>
      <c r="E330" s="719"/>
      <c r="F330" s="2" t="s">
        <v>1769</v>
      </c>
      <c r="G330" s="3" t="s">
        <v>1769</v>
      </c>
      <c r="H330" s="6" t="s">
        <v>1769</v>
      </c>
      <c r="I330" s="1" t="s">
        <v>1769</v>
      </c>
      <c r="J330" s="1" t="s">
        <v>1769</v>
      </c>
      <c r="K330" s="1" t="s">
        <v>1769</v>
      </c>
      <c r="L330" s="1" t="s">
        <v>1769</v>
      </c>
      <c r="M330" s="1" t="s">
        <v>1769</v>
      </c>
      <c r="N330" s="1" t="s">
        <v>1769</v>
      </c>
      <c r="O330" s="1" t="s">
        <v>1769</v>
      </c>
      <c r="P330" s="1" t="s">
        <v>1769</v>
      </c>
      <c r="Q330" s="1" t="s">
        <v>1769</v>
      </c>
      <c r="BE330" s="706">
        <f>_xll.xlDateShiftMonth(BE329,1)</f>
        <v>52898</v>
      </c>
      <c r="BF330" s="707">
        <v>3.202194015836228E-2</v>
      </c>
      <c r="BU330" s="133" t="s">
        <v>599</v>
      </c>
      <c r="BV330" s="133" t="s">
        <v>599</v>
      </c>
      <c r="BW330" s="133" t="s">
        <v>599</v>
      </c>
      <c r="BX330" s="133" t="s">
        <v>599</v>
      </c>
      <c r="BY330" s="133" t="s">
        <v>599</v>
      </c>
      <c r="BZ330" s="133" t="s">
        <v>599</v>
      </c>
      <c r="CA330" s="133" t="s">
        <v>599</v>
      </c>
      <c r="CB330" s="133" t="s">
        <v>599</v>
      </c>
      <c r="CC330" s="133" t="s">
        <v>599</v>
      </c>
      <c r="CD330" s="133" t="s">
        <v>599</v>
      </c>
      <c r="CE330" s="133" t="s">
        <v>599</v>
      </c>
      <c r="CF330" s="133" t="s">
        <v>599</v>
      </c>
    </row>
    <row r="331" spans="4:84">
      <c r="D331" s="273"/>
      <c r="E331" s="719"/>
      <c r="F331" s="2" t="s">
        <v>1769</v>
      </c>
      <c r="G331" s="3" t="s">
        <v>1769</v>
      </c>
      <c r="H331" s="6" t="s">
        <v>1769</v>
      </c>
      <c r="I331" s="1" t="s">
        <v>1769</v>
      </c>
      <c r="J331" s="1" t="s">
        <v>1769</v>
      </c>
      <c r="K331" s="1" t="s">
        <v>1769</v>
      </c>
      <c r="L331" s="1" t="s">
        <v>1769</v>
      </c>
      <c r="M331" s="1" t="s">
        <v>1769</v>
      </c>
      <c r="N331" s="1" t="s">
        <v>1769</v>
      </c>
      <c r="O331" s="1" t="s">
        <v>1769</v>
      </c>
      <c r="P331" s="1" t="s">
        <v>1769</v>
      </c>
      <c r="Q331" s="1" t="s">
        <v>1769</v>
      </c>
      <c r="BE331" s="706">
        <f>_xll.xlDateShiftMonth(BE330,1)</f>
        <v>52929</v>
      </c>
      <c r="BF331" s="707">
        <v>3.2145169034779326E-2</v>
      </c>
      <c r="BU331" s="133" t="s">
        <v>599</v>
      </c>
      <c r="BV331" s="133" t="s">
        <v>599</v>
      </c>
      <c r="BW331" s="133" t="s">
        <v>599</v>
      </c>
      <c r="BX331" s="133" t="s">
        <v>599</v>
      </c>
      <c r="BY331" s="133" t="s">
        <v>599</v>
      </c>
      <c r="BZ331" s="133" t="s">
        <v>599</v>
      </c>
      <c r="CA331" s="133" t="s">
        <v>599</v>
      </c>
      <c r="CB331" s="133" t="s">
        <v>599</v>
      </c>
      <c r="CC331" s="133" t="s">
        <v>599</v>
      </c>
      <c r="CD331" s="133" t="s">
        <v>599</v>
      </c>
      <c r="CE331" s="133" t="s">
        <v>599</v>
      </c>
      <c r="CF331" s="133" t="s">
        <v>599</v>
      </c>
    </row>
    <row r="332" spans="4:84">
      <c r="D332" s="273"/>
      <c r="E332" s="719"/>
      <c r="F332" s="2" t="s">
        <v>1769</v>
      </c>
      <c r="G332" s="3" t="s">
        <v>1769</v>
      </c>
      <c r="H332" s="6" t="s">
        <v>1769</v>
      </c>
      <c r="I332" s="1" t="s">
        <v>1769</v>
      </c>
      <c r="J332" s="1" t="s">
        <v>1769</v>
      </c>
      <c r="K332" s="1" t="s">
        <v>1769</v>
      </c>
      <c r="L332" s="1" t="s">
        <v>1769</v>
      </c>
      <c r="M332" s="1" t="s">
        <v>1769</v>
      </c>
      <c r="N332" s="1" t="s">
        <v>1769</v>
      </c>
      <c r="O332" s="1" t="s">
        <v>1769</v>
      </c>
      <c r="P332" s="1" t="s">
        <v>1769</v>
      </c>
      <c r="Q332" s="1" t="s">
        <v>1769</v>
      </c>
      <c r="BE332" s="706">
        <f>_xll.xlDateShiftMonth(BE331,1)</f>
        <v>52959</v>
      </c>
      <c r="BF332" s="707">
        <v>3.2266268382247117E-2</v>
      </c>
      <c r="BU332" s="133" t="s">
        <v>599</v>
      </c>
      <c r="BV332" s="133" t="s">
        <v>599</v>
      </c>
      <c r="BW332" s="133" t="s">
        <v>599</v>
      </c>
      <c r="BX332" s="133" t="s">
        <v>599</v>
      </c>
      <c r="BY332" s="133" t="s">
        <v>599</v>
      </c>
      <c r="BZ332" s="133" t="s">
        <v>599</v>
      </c>
      <c r="CA332" s="133" t="s">
        <v>599</v>
      </c>
      <c r="CB332" s="133" t="s">
        <v>599</v>
      </c>
      <c r="CC332" s="133" t="s">
        <v>599</v>
      </c>
      <c r="CD332" s="133" t="s">
        <v>599</v>
      </c>
      <c r="CE332" s="133" t="s">
        <v>599</v>
      </c>
      <c r="CF332" s="133" t="s">
        <v>599</v>
      </c>
    </row>
    <row r="333" spans="4:84">
      <c r="D333" s="273"/>
      <c r="E333" s="719"/>
      <c r="F333" s="2" t="s">
        <v>1769</v>
      </c>
      <c r="G333" s="3" t="s">
        <v>1769</v>
      </c>
      <c r="H333" s="6" t="s">
        <v>1769</v>
      </c>
      <c r="I333" s="1" t="s">
        <v>1769</v>
      </c>
      <c r="J333" s="1" t="s">
        <v>1769</v>
      </c>
      <c r="K333" s="1" t="s">
        <v>1769</v>
      </c>
      <c r="L333" s="1" t="s">
        <v>1769</v>
      </c>
      <c r="M333" s="1" t="s">
        <v>1769</v>
      </c>
      <c r="N333" s="1" t="s">
        <v>1769</v>
      </c>
      <c r="O333" s="1" t="s">
        <v>1769</v>
      </c>
      <c r="P333" s="1" t="s">
        <v>1769</v>
      </c>
      <c r="Q333" s="1" t="s">
        <v>1769</v>
      </c>
      <c r="BE333" s="706">
        <f>_xll.xlDateShiftMonth(BE332,1)</f>
        <v>52990</v>
      </c>
      <c r="BF333" s="707">
        <v>3.2393331963720393E-2</v>
      </c>
      <c r="BU333" s="133" t="s">
        <v>599</v>
      </c>
      <c r="BV333" s="133" t="s">
        <v>599</v>
      </c>
      <c r="BW333" s="133" t="s">
        <v>599</v>
      </c>
      <c r="BX333" s="133" t="s">
        <v>599</v>
      </c>
      <c r="BY333" s="133" t="s">
        <v>599</v>
      </c>
      <c r="BZ333" s="133" t="s">
        <v>599</v>
      </c>
      <c r="CA333" s="133" t="s">
        <v>599</v>
      </c>
      <c r="CB333" s="133" t="s">
        <v>599</v>
      </c>
      <c r="CC333" s="133" t="s">
        <v>599</v>
      </c>
      <c r="CD333" s="133" t="s">
        <v>599</v>
      </c>
      <c r="CE333" s="133" t="s">
        <v>599</v>
      </c>
      <c r="CF333" s="133" t="s">
        <v>599</v>
      </c>
    </row>
    <row r="334" spans="4:84">
      <c r="D334" s="273"/>
      <c r="E334" s="719"/>
      <c r="F334" s="2" t="s">
        <v>1769</v>
      </c>
      <c r="G334" s="3" t="s">
        <v>1769</v>
      </c>
      <c r="H334" s="6" t="s">
        <v>1769</v>
      </c>
      <c r="I334" s="1" t="s">
        <v>1769</v>
      </c>
      <c r="J334" s="1" t="s">
        <v>1769</v>
      </c>
      <c r="K334" s="1" t="s">
        <v>1769</v>
      </c>
      <c r="L334" s="1" t="s">
        <v>1769</v>
      </c>
      <c r="M334" s="1" t="s">
        <v>1769</v>
      </c>
      <c r="N334" s="1" t="s">
        <v>1769</v>
      </c>
      <c r="O334" s="1" t="s">
        <v>1769</v>
      </c>
      <c r="P334" s="1" t="s">
        <v>1769</v>
      </c>
      <c r="Q334" s="1" t="s">
        <v>1769</v>
      </c>
      <c r="BE334" s="706">
        <f>_xll.xlDateShiftMonth(BE333,1)</f>
        <v>53021</v>
      </c>
      <c r="BF334" s="707">
        <v>3.2522375542853241E-2</v>
      </c>
      <c r="BU334" s="133" t="s">
        <v>599</v>
      </c>
      <c r="BV334" s="133" t="s">
        <v>599</v>
      </c>
      <c r="BW334" s="133" t="s">
        <v>599</v>
      </c>
      <c r="BX334" s="133" t="s">
        <v>599</v>
      </c>
      <c r="BY334" s="133" t="s">
        <v>599</v>
      </c>
      <c r="BZ334" s="133" t="s">
        <v>599</v>
      </c>
      <c r="CA334" s="133" t="s">
        <v>599</v>
      </c>
      <c r="CB334" s="133" t="s">
        <v>599</v>
      </c>
      <c r="CC334" s="133" t="s">
        <v>599</v>
      </c>
      <c r="CD334" s="133" t="s">
        <v>599</v>
      </c>
      <c r="CE334" s="133" t="s">
        <v>599</v>
      </c>
      <c r="CF334" s="133" t="s">
        <v>599</v>
      </c>
    </row>
    <row r="335" spans="4:84">
      <c r="D335" s="273"/>
      <c r="E335" s="719"/>
      <c r="F335" s="2" t="s">
        <v>1769</v>
      </c>
      <c r="G335" s="3" t="s">
        <v>1769</v>
      </c>
      <c r="H335" s="6" t="s">
        <v>1769</v>
      </c>
      <c r="I335" s="1" t="s">
        <v>1769</v>
      </c>
      <c r="J335" s="1" t="s">
        <v>1769</v>
      </c>
      <c r="K335" s="1" t="s">
        <v>1769</v>
      </c>
      <c r="L335" s="1" t="s">
        <v>1769</v>
      </c>
      <c r="M335" s="1" t="s">
        <v>1769</v>
      </c>
      <c r="N335" s="1" t="s">
        <v>1769</v>
      </c>
      <c r="O335" s="1" t="s">
        <v>1769</v>
      </c>
      <c r="P335" s="1" t="s">
        <v>1769</v>
      </c>
      <c r="Q335" s="1" t="s">
        <v>1769</v>
      </c>
      <c r="BE335" s="706">
        <f>_xll.xlDateShiftMonth(BE334,1)</f>
        <v>53049</v>
      </c>
      <c r="BF335" s="707">
        <v>3.2640650380655188E-2</v>
      </c>
      <c r="BU335" s="133" t="s">
        <v>599</v>
      </c>
      <c r="BV335" s="133" t="s">
        <v>599</v>
      </c>
      <c r="BW335" s="133" t="s">
        <v>599</v>
      </c>
      <c r="BX335" s="133" t="s">
        <v>599</v>
      </c>
      <c r="BY335" s="133" t="s">
        <v>599</v>
      </c>
      <c r="BZ335" s="133" t="s">
        <v>599</v>
      </c>
      <c r="CA335" s="133" t="s">
        <v>599</v>
      </c>
      <c r="CB335" s="133" t="s">
        <v>599</v>
      </c>
      <c r="CC335" s="133" t="s">
        <v>599</v>
      </c>
      <c r="CD335" s="133" t="s">
        <v>599</v>
      </c>
      <c r="CE335" s="133" t="s">
        <v>599</v>
      </c>
      <c r="CF335" s="133" t="s">
        <v>599</v>
      </c>
    </row>
    <row r="336" spans="4:84">
      <c r="D336" s="273"/>
      <c r="E336" s="719"/>
      <c r="F336" s="2" t="s">
        <v>1769</v>
      </c>
      <c r="G336" s="3" t="s">
        <v>1769</v>
      </c>
      <c r="H336" s="6" t="s">
        <v>1769</v>
      </c>
      <c r="I336" s="1" t="s">
        <v>1769</v>
      </c>
      <c r="J336" s="1" t="s">
        <v>1769</v>
      </c>
      <c r="K336" s="1" t="s">
        <v>1769</v>
      </c>
      <c r="L336" s="1" t="s">
        <v>1769</v>
      </c>
      <c r="M336" s="1" t="s">
        <v>1769</v>
      </c>
      <c r="N336" s="1" t="s">
        <v>1769</v>
      </c>
      <c r="O336" s="1" t="s">
        <v>1769</v>
      </c>
      <c r="P336" s="1" t="s">
        <v>1769</v>
      </c>
      <c r="Q336" s="1" t="s">
        <v>1769</v>
      </c>
      <c r="BE336" s="706">
        <f>_xll.xlDateShiftMonth(BE335,1)</f>
        <v>53080</v>
      </c>
      <c r="BF336" s="707">
        <v>3.2773520456624738E-2</v>
      </c>
      <c r="BU336" s="133" t="s">
        <v>599</v>
      </c>
      <c r="BV336" s="133" t="s">
        <v>599</v>
      </c>
      <c r="BW336" s="133" t="s">
        <v>599</v>
      </c>
      <c r="BX336" s="133" t="s">
        <v>599</v>
      </c>
      <c r="BY336" s="133" t="s">
        <v>599</v>
      </c>
      <c r="BZ336" s="133" t="s">
        <v>599</v>
      </c>
      <c r="CA336" s="133" t="s">
        <v>599</v>
      </c>
      <c r="CB336" s="133" t="s">
        <v>599</v>
      </c>
      <c r="CC336" s="133" t="s">
        <v>599</v>
      </c>
      <c r="CD336" s="133" t="s">
        <v>599</v>
      </c>
      <c r="CE336" s="133" t="s">
        <v>599</v>
      </c>
      <c r="CF336" s="133" t="s">
        <v>599</v>
      </c>
    </row>
    <row r="337" spans="4:84">
      <c r="D337" s="273"/>
      <c r="E337" s="719"/>
      <c r="F337" s="2" t="s">
        <v>1769</v>
      </c>
      <c r="G337" s="3" t="s">
        <v>1769</v>
      </c>
      <c r="H337" s="6" t="s">
        <v>1769</v>
      </c>
      <c r="I337" s="1" t="s">
        <v>1769</v>
      </c>
      <c r="J337" s="1" t="s">
        <v>1769</v>
      </c>
      <c r="K337" s="1" t="s">
        <v>1769</v>
      </c>
      <c r="L337" s="1" t="s">
        <v>1769</v>
      </c>
      <c r="M337" s="1" t="s">
        <v>1769</v>
      </c>
      <c r="N337" s="1" t="s">
        <v>1769</v>
      </c>
      <c r="O337" s="1" t="s">
        <v>1769</v>
      </c>
      <c r="P337" s="1" t="s">
        <v>1769</v>
      </c>
      <c r="Q337" s="1" t="s">
        <v>1769</v>
      </c>
      <c r="BE337" s="706">
        <f>_xll.xlDateShiftMonth(BE336,1)</f>
        <v>53110</v>
      </c>
      <c r="BF337" s="707">
        <v>3.2904047553220891E-2</v>
      </c>
      <c r="BU337" s="133" t="s">
        <v>599</v>
      </c>
      <c r="BV337" s="133" t="s">
        <v>599</v>
      </c>
      <c r="BW337" s="133" t="s">
        <v>599</v>
      </c>
      <c r="BX337" s="133" t="s">
        <v>599</v>
      </c>
      <c r="BY337" s="133" t="s">
        <v>599</v>
      </c>
      <c r="BZ337" s="133" t="s">
        <v>599</v>
      </c>
      <c r="CA337" s="133" t="s">
        <v>599</v>
      </c>
      <c r="CB337" s="133" t="s">
        <v>599</v>
      </c>
      <c r="CC337" s="133" t="s">
        <v>599</v>
      </c>
      <c r="CD337" s="133" t="s">
        <v>599</v>
      </c>
      <c r="CE337" s="133" t="s">
        <v>599</v>
      </c>
      <c r="CF337" s="133" t="s">
        <v>599</v>
      </c>
    </row>
    <row r="338" spans="4:84">
      <c r="D338" s="273"/>
      <c r="E338" s="719"/>
      <c r="F338" s="2" t="s">
        <v>1769</v>
      </c>
      <c r="G338" s="3" t="s">
        <v>1769</v>
      </c>
      <c r="H338" s="6" t="s">
        <v>1769</v>
      </c>
      <c r="I338" s="1" t="s">
        <v>1769</v>
      </c>
      <c r="J338" s="1" t="s">
        <v>1769</v>
      </c>
      <c r="K338" s="1" t="s">
        <v>1769</v>
      </c>
      <c r="L338" s="1" t="s">
        <v>1769</v>
      </c>
      <c r="M338" s="1" t="s">
        <v>1769</v>
      </c>
      <c r="N338" s="1" t="s">
        <v>1769</v>
      </c>
      <c r="O338" s="1" t="s">
        <v>1769</v>
      </c>
      <c r="P338" s="1" t="s">
        <v>1769</v>
      </c>
      <c r="Q338" s="1" t="s">
        <v>1769</v>
      </c>
      <c r="BE338" s="706">
        <f>_xll.xlDateShiftMonth(BE337,1)</f>
        <v>53141</v>
      </c>
      <c r="BF338" s="707">
        <v>3.3040953950006939E-2</v>
      </c>
      <c r="BU338" s="133" t="s">
        <v>599</v>
      </c>
      <c r="BV338" s="133" t="s">
        <v>599</v>
      </c>
      <c r="BW338" s="133" t="s">
        <v>599</v>
      </c>
      <c r="BX338" s="133" t="s">
        <v>599</v>
      </c>
      <c r="BY338" s="133" t="s">
        <v>599</v>
      </c>
      <c r="BZ338" s="133" t="s">
        <v>599</v>
      </c>
      <c r="CA338" s="133" t="s">
        <v>599</v>
      </c>
      <c r="CB338" s="133" t="s">
        <v>599</v>
      </c>
      <c r="CC338" s="133" t="s">
        <v>599</v>
      </c>
      <c r="CD338" s="133" t="s">
        <v>599</v>
      </c>
      <c r="CE338" s="133" t="s">
        <v>599</v>
      </c>
      <c r="CF338" s="133" t="s">
        <v>599</v>
      </c>
    </row>
    <row r="339" spans="4:84">
      <c r="D339" s="273"/>
      <c r="E339" s="719"/>
      <c r="F339" s="2" t="s">
        <v>1769</v>
      </c>
      <c r="G339" s="3" t="s">
        <v>1769</v>
      </c>
      <c r="H339" s="6" t="s">
        <v>1769</v>
      </c>
      <c r="I339" s="1" t="s">
        <v>1769</v>
      </c>
      <c r="J339" s="1" t="s">
        <v>1769</v>
      </c>
      <c r="K339" s="1" t="s">
        <v>1769</v>
      </c>
      <c r="L339" s="1" t="s">
        <v>1769</v>
      </c>
      <c r="M339" s="1" t="s">
        <v>1769</v>
      </c>
      <c r="N339" s="1" t="s">
        <v>1769</v>
      </c>
      <c r="O339" s="1" t="s">
        <v>1769</v>
      </c>
      <c r="P339" s="1" t="s">
        <v>1769</v>
      </c>
      <c r="Q339" s="1" t="s">
        <v>1769</v>
      </c>
      <c r="BE339" s="706">
        <f>_xll.xlDateShiftMonth(BE338,1)</f>
        <v>53171</v>
      </c>
      <c r="BF339" s="707">
        <v>3.3175426573567285E-2</v>
      </c>
      <c r="BU339" s="133" t="s">
        <v>599</v>
      </c>
      <c r="BV339" s="133" t="s">
        <v>599</v>
      </c>
      <c r="BW339" s="133" t="s">
        <v>599</v>
      </c>
      <c r="BX339" s="133" t="s">
        <v>599</v>
      </c>
      <c r="BY339" s="133" t="s">
        <v>599</v>
      </c>
      <c r="BZ339" s="133" t="s">
        <v>599</v>
      </c>
      <c r="CA339" s="133" t="s">
        <v>599</v>
      </c>
      <c r="CB339" s="133" t="s">
        <v>599</v>
      </c>
      <c r="CC339" s="133" t="s">
        <v>599</v>
      </c>
      <c r="CD339" s="133" t="s">
        <v>599</v>
      </c>
      <c r="CE339" s="133" t="s">
        <v>599</v>
      </c>
      <c r="CF339" s="133" t="s">
        <v>599</v>
      </c>
    </row>
    <row r="340" spans="4:84">
      <c r="D340" s="273"/>
      <c r="E340" s="719"/>
      <c r="F340" s="2" t="s">
        <v>1769</v>
      </c>
      <c r="G340" s="3" t="s">
        <v>1769</v>
      </c>
      <c r="H340" s="6" t="s">
        <v>1769</v>
      </c>
      <c r="I340" s="1" t="s">
        <v>1769</v>
      </c>
      <c r="J340" s="1" t="s">
        <v>1769</v>
      </c>
      <c r="K340" s="1" t="s">
        <v>1769</v>
      </c>
      <c r="L340" s="1" t="s">
        <v>1769</v>
      </c>
      <c r="M340" s="1" t="s">
        <v>1769</v>
      </c>
      <c r="N340" s="1" t="s">
        <v>1769</v>
      </c>
      <c r="O340" s="1" t="s">
        <v>1769</v>
      </c>
      <c r="P340" s="1" t="s">
        <v>1769</v>
      </c>
      <c r="Q340" s="1" t="s">
        <v>1769</v>
      </c>
      <c r="BE340" s="706">
        <f>_xll.xlDateShiftMonth(BE339,1)</f>
        <v>53202</v>
      </c>
      <c r="BF340" s="707">
        <v>3.3316450738596168E-2</v>
      </c>
      <c r="BU340" s="133" t="s">
        <v>599</v>
      </c>
      <c r="BV340" s="133" t="s">
        <v>599</v>
      </c>
      <c r="BW340" s="133" t="s">
        <v>599</v>
      </c>
      <c r="BX340" s="133" t="s">
        <v>599</v>
      </c>
      <c r="BY340" s="133" t="s">
        <v>599</v>
      </c>
      <c r="BZ340" s="133" t="s">
        <v>599</v>
      </c>
      <c r="CA340" s="133" t="s">
        <v>599</v>
      </c>
      <c r="CB340" s="133" t="s">
        <v>599</v>
      </c>
      <c r="CC340" s="133" t="s">
        <v>599</v>
      </c>
      <c r="CD340" s="133" t="s">
        <v>599</v>
      </c>
      <c r="CE340" s="133" t="s">
        <v>599</v>
      </c>
      <c r="CF340" s="133" t="s">
        <v>599</v>
      </c>
    </row>
    <row r="341" spans="4:84">
      <c r="D341" s="273"/>
      <c r="E341" s="719"/>
      <c r="F341" s="2" t="s">
        <v>1769</v>
      </c>
      <c r="G341" s="3" t="s">
        <v>1769</v>
      </c>
      <c r="H341" s="6" t="s">
        <v>1769</v>
      </c>
      <c r="I341" s="1" t="s">
        <v>1769</v>
      </c>
      <c r="J341" s="1" t="s">
        <v>1769</v>
      </c>
      <c r="K341" s="1" t="s">
        <v>1769</v>
      </c>
      <c r="L341" s="1" t="s">
        <v>1769</v>
      </c>
      <c r="M341" s="1" t="s">
        <v>1769</v>
      </c>
      <c r="N341" s="1" t="s">
        <v>1769</v>
      </c>
      <c r="O341" s="1" t="s">
        <v>1769</v>
      </c>
      <c r="P341" s="1" t="s">
        <v>1769</v>
      </c>
      <c r="Q341" s="1" t="s">
        <v>1769</v>
      </c>
      <c r="BE341" s="706">
        <f>_xll.xlDateShiftMonth(BE340,1)</f>
        <v>53233</v>
      </c>
      <c r="BF341" s="707">
        <v>3.3459598753067983E-2</v>
      </c>
      <c r="BU341" s="133" t="s">
        <v>599</v>
      </c>
      <c r="BV341" s="133" t="s">
        <v>599</v>
      </c>
      <c r="BW341" s="133" t="s">
        <v>599</v>
      </c>
      <c r="BX341" s="133" t="s">
        <v>599</v>
      </c>
      <c r="BY341" s="133" t="s">
        <v>599</v>
      </c>
      <c r="BZ341" s="133" t="s">
        <v>599</v>
      </c>
      <c r="CA341" s="133" t="s">
        <v>599</v>
      </c>
      <c r="CB341" s="133" t="s">
        <v>599</v>
      </c>
      <c r="CC341" s="133" t="s">
        <v>599</v>
      </c>
      <c r="CD341" s="133" t="s">
        <v>599</v>
      </c>
      <c r="CE341" s="133" t="s">
        <v>599</v>
      </c>
      <c r="CF341" s="133" t="s">
        <v>599</v>
      </c>
    </row>
    <row r="342" spans="4:84">
      <c r="D342" s="273"/>
      <c r="E342" s="719"/>
      <c r="F342" s="2" t="s">
        <v>1769</v>
      </c>
      <c r="G342" s="3" t="s">
        <v>1769</v>
      </c>
      <c r="H342" s="6" t="s">
        <v>1769</v>
      </c>
      <c r="I342" s="1" t="s">
        <v>1769</v>
      </c>
      <c r="J342" s="1" t="s">
        <v>1769</v>
      </c>
      <c r="K342" s="1" t="s">
        <v>1769</v>
      </c>
      <c r="L342" s="1" t="s">
        <v>1769</v>
      </c>
      <c r="M342" s="1" t="s">
        <v>1769</v>
      </c>
      <c r="N342" s="1" t="s">
        <v>1769</v>
      </c>
      <c r="O342" s="1" t="s">
        <v>1769</v>
      </c>
      <c r="P342" s="1" t="s">
        <v>1769</v>
      </c>
      <c r="Q342" s="1" t="s">
        <v>1769</v>
      </c>
      <c r="BE342" s="706">
        <f>_xll.xlDateShiftMonth(BE341,1)</f>
        <v>53263</v>
      </c>
      <c r="BF342" s="707">
        <v>3.3600171089908745E-2</v>
      </c>
      <c r="BU342" s="133" t="s">
        <v>599</v>
      </c>
      <c r="BV342" s="133" t="s">
        <v>599</v>
      </c>
      <c r="BW342" s="133" t="s">
        <v>599</v>
      </c>
      <c r="BX342" s="133" t="s">
        <v>599</v>
      </c>
      <c r="BY342" s="133" t="s">
        <v>599</v>
      </c>
      <c r="BZ342" s="133" t="s">
        <v>599</v>
      </c>
      <c r="CA342" s="133" t="s">
        <v>599</v>
      </c>
      <c r="CB342" s="133" t="s">
        <v>599</v>
      </c>
      <c r="CC342" s="133" t="s">
        <v>599</v>
      </c>
      <c r="CD342" s="133" t="s">
        <v>599</v>
      </c>
      <c r="CE342" s="133" t="s">
        <v>599</v>
      </c>
      <c r="CF342" s="133" t="s">
        <v>599</v>
      </c>
    </row>
    <row r="343" spans="4:84">
      <c r="D343" s="273"/>
      <c r="E343" s="719"/>
      <c r="F343" s="2" t="s">
        <v>1769</v>
      </c>
      <c r="G343" s="3" t="s">
        <v>1769</v>
      </c>
      <c r="H343" s="6" t="s">
        <v>1769</v>
      </c>
      <c r="I343" s="1" t="s">
        <v>1769</v>
      </c>
      <c r="J343" s="1" t="s">
        <v>1769</v>
      </c>
      <c r="K343" s="1" t="s">
        <v>1769</v>
      </c>
      <c r="L343" s="1" t="s">
        <v>1769</v>
      </c>
      <c r="M343" s="1" t="s">
        <v>1769</v>
      </c>
      <c r="N343" s="1" t="s">
        <v>1769</v>
      </c>
      <c r="O343" s="1" t="s">
        <v>1769</v>
      </c>
      <c r="P343" s="1" t="s">
        <v>1769</v>
      </c>
      <c r="Q343" s="1" t="s">
        <v>1769</v>
      </c>
      <c r="BE343" s="706">
        <f>_xll.xlDateShiftMonth(BE342,1)</f>
        <v>53294</v>
      </c>
      <c r="BF343" s="707">
        <v>3.3747559711364755E-2</v>
      </c>
      <c r="BU343" s="133" t="s">
        <v>599</v>
      </c>
      <c r="BV343" s="133" t="s">
        <v>599</v>
      </c>
      <c r="BW343" s="133" t="s">
        <v>599</v>
      </c>
      <c r="BX343" s="133" t="s">
        <v>599</v>
      </c>
      <c r="BY343" s="133" t="s">
        <v>599</v>
      </c>
      <c r="BZ343" s="133" t="s">
        <v>599</v>
      </c>
      <c r="CA343" s="133" t="s">
        <v>599</v>
      </c>
      <c r="CB343" s="133" t="s">
        <v>599</v>
      </c>
      <c r="CC343" s="133" t="s">
        <v>599</v>
      </c>
      <c r="CD343" s="133" t="s">
        <v>599</v>
      </c>
      <c r="CE343" s="133" t="s">
        <v>599</v>
      </c>
      <c r="CF343" s="133" t="s">
        <v>599</v>
      </c>
    </row>
    <row r="344" spans="4:84">
      <c r="D344" s="273"/>
      <c r="E344" s="719"/>
      <c r="F344" s="2" t="s">
        <v>1769</v>
      </c>
      <c r="G344" s="3" t="s">
        <v>1769</v>
      </c>
      <c r="H344" s="6" t="s">
        <v>1769</v>
      </c>
      <c r="I344" s="1" t="s">
        <v>1769</v>
      </c>
      <c r="J344" s="1" t="s">
        <v>1769</v>
      </c>
      <c r="K344" s="1" t="s">
        <v>1769</v>
      </c>
      <c r="L344" s="1" t="s">
        <v>1769</v>
      </c>
      <c r="M344" s="1" t="s">
        <v>1769</v>
      </c>
      <c r="N344" s="1" t="s">
        <v>1769</v>
      </c>
      <c r="O344" s="1" t="s">
        <v>1769</v>
      </c>
      <c r="P344" s="1" t="s">
        <v>1769</v>
      </c>
      <c r="Q344" s="1" t="s">
        <v>1769</v>
      </c>
      <c r="BE344" s="706">
        <f>_xll.xlDateShiftMonth(BE343,1)</f>
        <v>53324</v>
      </c>
      <c r="BF344" s="707">
        <v>3.3892275271461027E-2</v>
      </c>
      <c r="BU344" s="133" t="s">
        <v>599</v>
      </c>
      <c r="BV344" s="133" t="s">
        <v>599</v>
      </c>
      <c r="BW344" s="133" t="s">
        <v>599</v>
      </c>
      <c r="BX344" s="133" t="s">
        <v>599</v>
      </c>
      <c r="BY344" s="133" t="s">
        <v>599</v>
      </c>
      <c r="BZ344" s="133" t="s">
        <v>599</v>
      </c>
      <c r="CA344" s="133" t="s">
        <v>599</v>
      </c>
      <c r="CB344" s="133" t="s">
        <v>599</v>
      </c>
      <c r="CC344" s="133" t="s">
        <v>599</v>
      </c>
      <c r="CD344" s="133" t="s">
        <v>599</v>
      </c>
      <c r="CE344" s="133" t="s">
        <v>599</v>
      </c>
      <c r="CF344" s="133" t="s">
        <v>599</v>
      </c>
    </row>
    <row r="345" spans="4:84">
      <c r="D345" s="273"/>
      <c r="E345" s="719"/>
      <c r="F345" s="2" t="s">
        <v>1769</v>
      </c>
      <c r="G345" s="3" t="s">
        <v>1769</v>
      </c>
      <c r="H345" s="6" t="s">
        <v>1769</v>
      </c>
      <c r="I345" s="1" t="s">
        <v>1769</v>
      </c>
      <c r="J345" s="1" t="s">
        <v>1769</v>
      </c>
      <c r="K345" s="1" t="s">
        <v>1769</v>
      </c>
      <c r="L345" s="1" t="s">
        <v>1769</v>
      </c>
      <c r="M345" s="1" t="s">
        <v>1769</v>
      </c>
      <c r="N345" s="1" t="s">
        <v>1769</v>
      </c>
      <c r="O345" s="1" t="s">
        <v>1769</v>
      </c>
      <c r="P345" s="1" t="s">
        <v>1769</v>
      </c>
      <c r="Q345" s="1" t="s">
        <v>1769</v>
      </c>
      <c r="BE345" s="706">
        <f>_xll.xlDateShiftMonth(BE344,1)</f>
        <v>53355</v>
      </c>
      <c r="BF345" s="707">
        <v>3.4043985947327549E-2</v>
      </c>
      <c r="BU345" s="133" t="s">
        <v>599</v>
      </c>
      <c r="BV345" s="133" t="s">
        <v>599</v>
      </c>
      <c r="BW345" s="133" t="s">
        <v>599</v>
      </c>
      <c r="BX345" s="133" t="s">
        <v>599</v>
      </c>
      <c r="BY345" s="133" t="s">
        <v>599</v>
      </c>
      <c r="BZ345" s="133" t="s">
        <v>599</v>
      </c>
      <c r="CA345" s="133" t="s">
        <v>599</v>
      </c>
      <c r="CB345" s="133" t="s">
        <v>599</v>
      </c>
      <c r="CC345" s="133" t="s">
        <v>599</v>
      </c>
      <c r="CD345" s="133" t="s">
        <v>599</v>
      </c>
      <c r="CE345" s="133" t="s">
        <v>599</v>
      </c>
      <c r="CF345" s="133" t="s">
        <v>599</v>
      </c>
    </row>
    <row r="346" spans="4:84">
      <c r="D346" s="273"/>
      <c r="F346" s="2" t="s">
        <v>1769</v>
      </c>
      <c r="G346" s="3" t="s">
        <v>1769</v>
      </c>
      <c r="H346" s="6" t="s">
        <v>1769</v>
      </c>
      <c r="I346" s="1" t="s">
        <v>1769</v>
      </c>
      <c r="J346" s="1" t="s">
        <v>1769</v>
      </c>
      <c r="K346" s="1" t="s">
        <v>1769</v>
      </c>
      <c r="L346" s="1" t="s">
        <v>1769</v>
      </c>
      <c r="M346" s="1" t="s">
        <v>1769</v>
      </c>
      <c r="N346" s="1" t="s">
        <v>1769</v>
      </c>
      <c r="O346" s="1" t="s">
        <v>1769</v>
      </c>
      <c r="P346" s="1" t="s">
        <v>1769</v>
      </c>
      <c r="Q346" s="1" t="s">
        <v>1769</v>
      </c>
      <c r="BE346" s="706">
        <f>_xll.xlDateShiftMonth(BE345,1)</f>
        <v>53386</v>
      </c>
      <c r="BF346" s="707">
        <v>3.4197924290197634E-2</v>
      </c>
      <c r="BU346" s="133" t="s">
        <v>599</v>
      </c>
      <c r="BV346" s="133" t="s">
        <v>599</v>
      </c>
      <c r="BW346" s="133" t="s">
        <v>599</v>
      </c>
      <c r="BX346" s="133" t="s">
        <v>599</v>
      </c>
      <c r="BY346" s="133" t="s">
        <v>599</v>
      </c>
      <c r="BZ346" s="133" t="s">
        <v>599</v>
      </c>
      <c r="CA346" s="133" t="s">
        <v>599</v>
      </c>
      <c r="CB346" s="133" t="s">
        <v>599</v>
      </c>
      <c r="CC346" s="133" t="s">
        <v>599</v>
      </c>
      <c r="CD346" s="133" t="s">
        <v>599</v>
      </c>
      <c r="CE346" s="133" t="s">
        <v>599</v>
      </c>
      <c r="CF346" s="133" t="s">
        <v>599</v>
      </c>
    </row>
    <row r="347" spans="4:84">
      <c r="D347" s="273"/>
      <c r="F347" s="2" t="s">
        <v>1769</v>
      </c>
      <c r="G347" s="3" t="s">
        <v>1769</v>
      </c>
      <c r="H347" s="6" t="s">
        <v>1769</v>
      </c>
      <c r="I347" s="1" t="s">
        <v>1769</v>
      </c>
      <c r="J347" s="1" t="s">
        <v>1769</v>
      </c>
      <c r="K347" s="1" t="s">
        <v>1769</v>
      </c>
      <c r="L347" s="1" t="s">
        <v>1769</v>
      </c>
      <c r="M347" s="1" t="s">
        <v>1769</v>
      </c>
      <c r="N347" s="1" t="s">
        <v>1769</v>
      </c>
      <c r="O347" s="1" t="s">
        <v>1769</v>
      </c>
      <c r="P347" s="1" t="s">
        <v>1769</v>
      </c>
      <c r="Q347" s="1" t="s">
        <v>1769</v>
      </c>
      <c r="BE347" s="706">
        <f>_xll.xlDateShiftMonth(BE346,1)</f>
        <v>53414</v>
      </c>
      <c r="BF347" s="707">
        <v>3.4338897598136991E-2</v>
      </c>
      <c r="BU347" s="133" t="s">
        <v>599</v>
      </c>
      <c r="BV347" s="133" t="s">
        <v>599</v>
      </c>
      <c r="BW347" s="133" t="s">
        <v>599</v>
      </c>
      <c r="BX347" s="133" t="s">
        <v>599</v>
      </c>
      <c r="BY347" s="133" t="s">
        <v>599</v>
      </c>
      <c r="BZ347" s="133" t="s">
        <v>599</v>
      </c>
      <c r="CA347" s="133" t="s">
        <v>599</v>
      </c>
      <c r="CB347" s="133" t="s">
        <v>599</v>
      </c>
      <c r="CC347" s="133" t="s">
        <v>599</v>
      </c>
      <c r="CD347" s="133" t="s">
        <v>599</v>
      </c>
      <c r="CE347" s="133" t="s">
        <v>599</v>
      </c>
      <c r="CF347" s="133" t="s">
        <v>599</v>
      </c>
    </row>
    <row r="348" spans="4:84">
      <c r="D348" s="273"/>
      <c r="F348" s="2" t="s">
        <v>1769</v>
      </c>
      <c r="G348" s="3" t="s">
        <v>1769</v>
      </c>
      <c r="H348" s="6" t="s">
        <v>1769</v>
      </c>
      <c r="I348" s="1" t="s">
        <v>1769</v>
      </c>
      <c r="J348" s="1" t="s">
        <v>1769</v>
      </c>
      <c r="K348" s="1" t="s">
        <v>1769</v>
      </c>
      <c r="L348" s="1" t="s">
        <v>1769</v>
      </c>
      <c r="M348" s="1" t="s">
        <v>1769</v>
      </c>
      <c r="N348" s="1" t="s">
        <v>1769</v>
      </c>
      <c r="O348" s="1" t="s">
        <v>1769</v>
      </c>
      <c r="P348" s="1" t="s">
        <v>1769</v>
      </c>
      <c r="Q348" s="1" t="s">
        <v>1769</v>
      </c>
      <c r="BE348" s="706">
        <f>_xll.xlDateShiftMonth(BE347,1)</f>
        <v>53445</v>
      </c>
      <c r="BF348" s="707">
        <v>3.4497133808530707E-2</v>
      </c>
      <c r="BU348" s="133" t="s">
        <v>599</v>
      </c>
      <c r="BV348" s="133" t="s">
        <v>599</v>
      </c>
      <c r="BW348" s="133" t="s">
        <v>599</v>
      </c>
      <c r="BX348" s="133" t="s">
        <v>599</v>
      </c>
      <c r="BY348" s="133" t="s">
        <v>599</v>
      </c>
      <c r="BZ348" s="133" t="s">
        <v>599</v>
      </c>
      <c r="CA348" s="133" t="s">
        <v>599</v>
      </c>
      <c r="CB348" s="133" t="s">
        <v>599</v>
      </c>
      <c r="CC348" s="133" t="s">
        <v>599</v>
      </c>
      <c r="CD348" s="133" t="s">
        <v>599</v>
      </c>
      <c r="CE348" s="133" t="s">
        <v>599</v>
      </c>
      <c r="CF348" s="133" t="s">
        <v>599</v>
      </c>
    </row>
    <row r="349" spans="4:84">
      <c r="D349" s="273"/>
      <c r="F349" s="2" t="s">
        <v>1769</v>
      </c>
      <c r="G349" s="3" t="s">
        <v>1769</v>
      </c>
      <c r="H349" s="6" t="s">
        <v>1769</v>
      </c>
      <c r="I349" s="1" t="s">
        <v>1769</v>
      </c>
      <c r="J349" s="1" t="s">
        <v>1769</v>
      </c>
      <c r="K349" s="1" t="s">
        <v>1769</v>
      </c>
      <c r="L349" s="1" t="s">
        <v>1769</v>
      </c>
      <c r="M349" s="1" t="s">
        <v>1769</v>
      </c>
      <c r="N349" s="1" t="s">
        <v>1769</v>
      </c>
      <c r="O349" s="1" t="s">
        <v>1769</v>
      </c>
      <c r="P349" s="1" t="s">
        <v>1769</v>
      </c>
      <c r="Q349" s="1" t="s">
        <v>1769</v>
      </c>
      <c r="BE349" s="706">
        <f>_xll.xlDateShiftMonth(BE348,1)</f>
        <v>53475</v>
      </c>
      <c r="BF349" s="707">
        <v>3.4652444591353936E-2</v>
      </c>
      <c r="BU349" s="133" t="s">
        <v>599</v>
      </c>
      <c r="BV349" s="133" t="s">
        <v>599</v>
      </c>
      <c r="BW349" s="133" t="s">
        <v>599</v>
      </c>
      <c r="BX349" s="133" t="s">
        <v>599</v>
      </c>
      <c r="BY349" s="133" t="s">
        <v>599</v>
      </c>
      <c r="BZ349" s="133" t="s">
        <v>599</v>
      </c>
      <c r="CA349" s="133" t="s">
        <v>599</v>
      </c>
      <c r="CB349" s="133" t="s">
        <v>599</v>
      </c>
      <c r="CC349" s="133" t="s">
        <v>599</v>
      </c>
      <c r="CD349" s="133" t="s">
        <v>599</v>
      </c>
      <c r="CE349" s="133" t="s">
        <v>599</v>
      </c>
      <c r="CF349" s="133" t="s">
        <v>599</v>
      </c>
    </row>
    <row r="350" spans="4:84">
      <c r="F350" s="2" t="s">
        <v>1769</v>
      </c>
      <c r="G350" s="3" t="s">
        <v>1769</v>
      </c>
      <c r="H350" s="6" t="s">
        <v>1769</v>
      </c>
      <c r="I350" s="1" t="s">
        <v>1769</v>
      </c>
      <c r="J350" s="1" t="s">
        <v>1769</v>
      </c>
      <c r="K350" s="1" t="s">
        <v>1769</v>
      </c>
      <c r="L350" s="1" t="s">
        <v>1769</v>
      </c>
      <c r="M350" s="1" t="s">
        <v>1769</v>
      </c>
      <c r="N350" s="1" t="s">
        <v>1769</v>
      </c>
      <c r="O350" s="1" t="s">
        <v>1769</v>
      </c>
      <c r="P350" s="1" t="s">
        <v>1769</v>
      </c>
      <c r="Q350" s="1" t="s">
        <v>1769</v>
      </c>
      <c r="BE350" s="706">
        <f>_xll.xlDateShiftMonth(BE349,1)</f>
        <v>53506</v>
      </c>
      <c r="BF350" s="707">
        <v>3.4815204471918444E-2</v>
      </c>
      <c r="BU350" s="133" t="s">
        <v>599</v>
      </c>
      <c r="BV350" s="133" t="s">
        <v>599</v>
      </c>
      <c r="BW350" s="133" t="s">
        <v>599</v>
      </c>
      <c r="BX350" s="133" t="s">
        <v>599</v>
      </c>
      <c r="BY350" s="133" t="s">
        <v>599</v>
      </c>
      <c r="BZ350" s="133" t="s">
        <v>599</v>
      </c>
      <c r="CA350" s="133" t="s">
        <v>599</v>
      </c>
      <c r="CB350" s="133" t="s">
        <v>599</v>
      </c>
      <c r="CC350" s="133" t="s">
        <v>599</v>
      </c>
      <c r="CD350" s="133" t="s">
        <v>599</v>
      </c>
      <c r="CE350" s="133" t="s">
        <v>599</v>
      </c>
      <c r="CF350" s="133" t="s">
        <v>599</v>
      </c>
    </row>
    <row r="351" spans="4:84">
      <c r="F351" s="2" t="s">
        <v>1769</v>
      </c>
      <c r="G351" s="3" t="s">
        <v>1769</v>
      </c>
      <c r="H351" s="6" t="s">
        <v>1769</v>
      </c>
      <c r="I351" s="1" t="s">
        <v>1769</v>
      </c>
      <c r="J351" s="1" t="s">
        <v>1769</v>
      </c>
      <c r="K351" s="1" t="s">
        <v>1769</v>
      </c>
      <c r="L351" s="1" t="s">
        <v>1769</v>
      </c>
      <c r="M351" s="1" t="s">
        <v>1769</v>
      </c>
      <c r="N351" s="1" t="s">
        <v>1769</v>
      </c>
      <c r="O351" s="1" t="s">
        <v>1769</v>
      </c>
      <c r="P351" s="1" t="s">
        <v>1769</v>
      </c>
      <c r="Q351" s="1" t="s">
        <v>1769</v>
      </c>
      <c r="BE351" s="706">
        <f>_xll.xlDateShiftMonth(BE350,1)</f>
        <v>53536</v>
      </c>
      <c r="BF351" s="707">
        <v>3.4974932410113249E-2</v>
      </c>
      <c r="BU351" s="133" t="s">
        <v>599</v>
      </c>
      <c r="BV351" s="133" t="s">
        <v>599</v>
      </c>
      <c r="BW351" s="133" t="s">
        <v>599</v>
      </c>
      <c r="BX351" s="133" t="s">
        <v>599</v>
      </c>
      <c r="BY351" s="133" t="s">
        <v>599</v>
      </c>
      <c r="BZ351" s="133" t="s">
        <v>599</v>
      </c>
      <c r="CA351" s="133" t="s">
        <v>599</v>
      </c>
      <c r="CB351" s="133" t="s">
        <v>599</v>
      </c>
      <c r="CC351" s="133" t="s">
        <v>599</v>
      </c>
      <c r="CD351" s="133" t="s">
        <v>599</v>
      </c>
      <c r="CE351" s="133" t="s">
        <v>599</v>
      </c>
      <c r="CF351" s="133" t="s">
        <v>599</v>
      </c>
    </row>
    <row r="352" spans="4:84">
      <c r="F352" s="2" t="s">
        <v>1769</v>
      </c>
      <c r="G352" s="3" t="s">
        <v>1769</v>
      </c>
      <c r="H352" s="6" t="s">
        <v>1769</v>
      </c>
      <c r="I352" s="1" t="s">
        <v>1769</v>
      </c>
      <c r="J352" s="1" t="s">
        <v>1769</v>
      </c>
      <c r="K352" s="1" t="s">
        <v>1769</v>
      </c>
      <c r="L352" s="1" t="s">
        <v>1769</v>
      </c>
      <c r="M352" s="1" t="s">
        <v>1769</v>
      </c>
      <c r="N352" s="1" t="s">
        <v>1769</v>
      </c>
      <c r="O352" s="1" t="s">
        <v>1769</v>
      </c>
      <c r="P352" s="1" t="s">
        <v>1769</v>
      </c>
      <c r="Q352" s="1" t="s">
        <v>1769</v>
      </c>
      <c r="BE352" s="706">
        <f>_xll.xlDateShiftMonth(BE351,1)</f>
        <v>53567</v>
      </c>
      <c r="BF352" s="707">
        <v>3.5142297408274882E-2</v>
      </c>
      <c r="BU352" s="133" t="s">
        <v>599</v>
      </c>
      <c r="BV352" s="133" t="s">
        <v>599</v>
      </c>
      <c r="BW352" s="133" t="s">
        <v>599</v>
      </c>
      <c r="BX352" s="133" t="s">
        <v>599</v>
      </c>
      <c r="BY352" s="133" t="s">
        <v>599</v>
      </c>
      <c r="BZ352" s="133" t="s">
        <v>599</v>
      </c>
      <c r="CA352" s="133" t="s">
        <v>599</v>
      </c>
      <c r="CB352" s="133" t="s">
        <v>599</v>
      </c>
      <c r="CC352" s="133" t="s">
        <v>599</v>
      </c>
      <c r="CD352" s="133" t="s">
        <v>599</v>
      </c>
      <c r="CE352" s="133" t="s">
        <v>599</v>
      </c>
      <c r="CF352" s="133" t="s">
        <v>599</v>
      </c>
    </row>
    <row r="353" spans="6:84">
      <c r="F353" s="2" t="s">
        <v>1769</v>
      </c>
      <c r="G353" s="3" t="s">
        <v>1769</v>
      </c>
      <c r="H353" s="6" t="s">
        <v>1769</v>
      </c>
      <c r="I353" s="1" t="s">
        <v>1769</v>
      </c>
      <c r="J353" s="1" t="s">
        <v>1769</v>
      </c>
      <c r="K353" s="1" t="s">
        <v>1769</v>
      </c>
      <c r="L353" s="1" t="s">
        <v>1769</v>
      </c>
      <c r="M353" s="1" t="s">
        <v>1769</v>
      </c>
      <c r="N353" s="1" t="s">
        <v>1769</v>
      </c>
      <c r="O353" s="1" t="s">
        <v>1769</v>
      </c>
      <c r="P353" s="1" t="s">
        <v>1769</v>
      </c>
      <c r="Q353" s="1" t="s">
        <v>1769</v>
      </c>
      <c r="BE353" s="706">
        <f>_xll.xlDateShiftMonth(BE352,1)</f>
        <v>53598</v>
      </c>
      <c r="BF353" s="707">
        <v>3.5312033925223432E-2</v>
      </c>
      <c r="BU353" s="133" t="s">
        <v>599</v>
      </c>
      <c r="BV353" s="133" t="s">
        <v>599</v>
      </c>
      <c r="BW353" s="133" t="s">
        <v>599</v>
      </c>
      <c r="BX353" s="133" t="s">
        <v>599</v>
      </c>
      <c r="BY353" s="133" t="s">
        <v>599</v>
      </c>
      <c r="BZ353" s="133" t="s">
        <v>599</v>
      </c>
      <c r="CA353" s="133" t="s">
        <v>599</v>
      </c>
      <c r="CB353" s="133" t="s">
        <v>599</v>
      </c>
      <c r="CC353" s="133" t="s">
        <v>599</v>
      </c>
      <c r="CD353" s="133" t="s">
        <v>599</v>
      </c>
      <c r="CE353" s="133" t="s">
        <v>599</v>
      </c>
      <c r="CF353" s="133" t="s">
        <v>599</v>
      </c>
    </row>
    <row r="354" spans="6:84">
      <c r="F354" s="2" t="s">
        <v>1769</v>
      </c>
      <c r="G354" s="3" t="s">
        <v>1769</v>
      </c>
      <c r="H354" s="6" t="s">
        <v>1769</v>
      </c>
      <c r="I354" s="1" t="s">
        <v>1769</v>
      </c>
      <c r="J354" s="1" t="s">
        <v>1769</v>
      </c>
      <c r="K354" s="1" t="s">
        <v>1769</v>
      </c>
      <c r="L354" s="1" t="s">
        <v>1769</v>
      </c>
      <c r="M354" s="1" t="s">
        <v>1769</v>
      </c>
      <c r="N354" s="1" t="s">
        <v>1769</v>
      </c>
      <c r="O354" s="1" t="s">
        <v>1769</v>
      </c>
      <c r="P354" s="1" t="s">
        <v>1769</v>
      </c>
      <c r="Q354" s="1" t="s">
        <v>1769</v>
      </c>
      <c r="BE354" s="706">
        <f>_xll.xlDateShiftMonth(BE353,1)</f>
        <v>53628</v>
      </c>
      <c r="BF354" s="707">
        <v>3.5478572885116341E-2</v>
      </c>
      <c r="BU354" s="133" t="s">
        <v>599</v>
      </c>
      <c r="BV354" s="133" t="s">
        <v>599</v>
      </c>
      <c r="BW354" s="133" t="s">
        <v>599</v>
      </c>
      <c r="BX354" s="133" t="s">
        <v>599</v>
      </c>
      <c r="BY354" s="133" t="s">
        <v>599</v>
      </c>
      <c r="BZ354" s="133" t="s">
        <v>599</v>
      </c>
      <c r="CA354" s="133" t="s">
        <v>599</v>
      </c>
      <c r="CB354" s="133" t="s">
        <v>599</v>
      </c>
      <c r="CC354" s="133" t="s">
        <v>599</v>
      </c>
      <c r="CD354" s="133" t="s">
        <v>599</v>
      </c>
      <c r="CE354" s="133" t="s">
        <v>599</v>
      </c>
      <c r="CF354" s="133" t="s">
        <v>599</v>
      </c>
    </row>
    <row r="355" spans="6:84">
      <c r="F355" s="2" t="s">
        <v>1769</v>
      </c>
      <c r="G355" s="3" t="s">
        <v>1769</v>
      </c>
      <c r="H355" s="6" t="s">
        <v>1769</v>
      </c>
      <c r="I355" s="1" t="s">
        <v>1769</v>
      </c>
      <c r="J355" s="1" t="s">
        <v>1769</v>
      </c>
      <c r="K355" s="1" t="s">
        <v>1769</v>
      </c>
      <c r="L355" s="1" t="s">
        <v>1769</v>
      </c>
      <c r="M355" s="1" t="s">
        <v>1769</v>
      </c>
      <c r="N355" s="1" t="s">
        <v>1769</v>
      </c>
      <c r="O355" s="1" t="s">
        <v>1769</v>
      </c>
      <c r="P355" s="1" t="s">
        <v>1769</v>
      </c>
      <c r="Q355" s="1" t="s">
        <v>1769</v>
      </c>
      <c r="BE355" s="706">
        <f>_xll.xlDateShiftMonth(BE354,1)</f>
        <v>53659</v>
      </c>
      <c r="BF355" s="707">
        <v>3.5653037358403375E-2</v>
      </c>
      <c r="BU355" s="133" t="s">
        <v>599</v>
      </c>
      <c r="BV355" s="133" t="s">
        <v>599</v>
      </c>
      <c r="BW355" s="133" t="s">
        <v>599</v>
      </c>
      <c r="BX355" s="133" t="s">
        <v>599</v>
      </c>
      <c r="BY355" s="133" t="s">
        <v>599</v>
      </c>
      <c r="BZ355" s="133" t="s">
        <v>599</v>
      </c>
      <c r="CA355" s="133" t="s">
        <v>599</v>
      </c>
      <c r="CB355" s="133" t="s">
        <v>599</v>
      </c>
      <c r="CC355" s="133" t="s">
        <v>599</v>
      </c>
      <c r="CD355" s="133" t="s">
        <v>599</v>
      </c>
      <c r="CE355" s="133" t="s">
        <v>599</v>
      </c>
      <c r="CF355" s="133" t="s">
        <v>599</v>
      </c>
    </row>
    <row r="356" spans="6:84">
      <c r="F356" s="2" t="s">
        <v>1769</v>
      </c>
      <c r="G356" s="3" t="s">
        <v>1769</v>
      </c>
      <c r="H356" s="6" t="s">
        <v>1769</v>
      </c>
      <c r="I356" s="1" t="s">
        <v>1769</v>
      </c>
      <c r="J356" s="1" t="s">
        <v>1769</v>
      </c>
      <c r="K356" s="1" t="s">
        <v>1769</v>
      </c>
      <c r="L356" s="1" t="s">
        <v>1769</v>
      </c>
      <c r="M356" s="1" t="s">
        <v>1769</v>
      </c>
      <c r="N356" s="1" t="s">
        <v>1769</v>
      </c>
      <c r="O356" s="1" t="s">
        <v>1769</v>
      </c>
      <c r="P356" s="1" t="s">
        <v>1769</v>
      </c>
      <c r="Q356" s="1" t="s">
        <v>1769</v>
      </c>
      <c r="BE356" s="706">
        <f>_xll.xlDateShiftMonth(BE355,1)</f>
        <v>53689</v>
      </c>
      <c r="BF356" s="707">
        <v>3.582419116995917E-2</v>
      </c>
      <c r="BU356" s="133" t="s">
        <v>599</v>
      </c>
      <c r="BV356" s="133" t="s">
        <v>599</v>
      </c>
      <c r="BW356" s="133" t="s">
        <v>599</v>
      </c>
      <c r="BX356" s="133" t="s">
        <v>599</v>
      </c>
      <c r="BY356" s="133" t="s">
        <v>599</v>
      </c>
      <c r="BZ356" s="133" t="s">
        <v>599</v>
      </c>
      <c r="CA356" s="133" t="s">
        <v>599</v>
      </c>
      <c r="CB356" s="133" t="s">
        <v>599</v>
      </c>
      <c r="CC356" s="133" t="s">
        <v>599</v>
      </c>
      <c r="CD356" s="133" t="s">
        <v>599</v>
      </c>
      <c r="CE356" s="133" t="s">
        <v>599</v>
      </c>
      <c r="CF356" s="133" t="s">
        <v>599</v>
      </c>
    </row>
    <row r="357" spans="6:84">
      <c r="BE357" s="706">
        <f>_xll.xlDateShiftMonth(BE356,1)</f>
        <v>53720</v>
      </c>
      <c r="BF357" s="707">
        <v>3.6003465047011012E-2</v>
      </c>
      <c r="BU357" s="133" t="s">
        <v>599</v>
      </c>
      <c r="BV357" s="133" t="s">
        <v>599</v>
      </c>
      <c r="BW357" s="133" t="s">
        <v>599</v>
      </c>
      <c r="BX357" s="133" t="s">
        <v>599</v>
      </c>
      <c r="BY357" s="133" t="s">
        <v>599</v>
      </c>
      <c r="BZ357" s="133" t="s">
        <v>599</v>
      </c>
      <c r="CA357" s="133" t="s">
        <v>599</v>
      </c>
      <c r="CB357" s="133" t="s">
        <v>599</v>
      </c>
      <c r="CC357" s="133" t="s">
        <v>599</v>
      </c>
      <c r="CD357" s="133" t="s">
        <v>599</v>
      </c>
      <c r="CE357" s="133" t="s">
        <v>599</v>
      </c>
      <c r="CF357" s="133" t="s">
        <v>599</v>
      </c>
    </row>
    <row r="358" spans="6:84">
      <c r="BE358" s="706">
        <f>_xll.xlDateShiftMonth(BE357,1)</f>
        <v>53751</v>
      </c>
      <c r="BF358" s="707">
        <v>3.6185214260410395E-2</v>
      </c>
      <c r="BU358" s="133" t="s">
        <v>599</v>
      </c>
      <c r="BV358" s="133" t="s">
        <v>599</v>
      </c>
      <c r="BW358" s="133" t="s">
        <v>599</v>
      </c>
      <c r="BX358" s="133" t="s">
        <v>599</v>
      </c>
      <c r="BY358" s="133" t="s">
        <v>599</v>
      </c>
      <c r="BZ358" s="133" t="s">
        <v>599</v>
      </c>
      <c r="CA358" s="133" t="s">
        <v>599</v>
      </c>
      <c r="CB358" s="133" t="s">
        <v>599</v>
      </c>
      <c r="CC358" s="133" t="s">
        <v>599</v>
      </c>
      <c r="CD358" s="133" t="s">
        <v>599</v>
      </c>
      <c r="CE358" s="133" t="s">
        <v>599</v>
      </c>
      <c r="CF358" s="133" t="s">
        <v>599</v>
      </c>
    </row>
    <row r="359" spans="6:84">
      <c r="BE359" s="706">
        <f>_xll.xlDateShiftMonth(BE358,1)</f>
        <v>53779</v>
      </c>
      <c r="BF359" s="707">
        <v>3.635151994139612E-2</v>
      </c>
      <c r="BU359" s="133" t="s">
        <v>599</v>
      </c>
      <c r="BV359" s="133" t="s">
        <v>599</v>
      </c>
      <c r="BW359" s="133" t="s">
        <v>599</v>
      </c>
      <c r="BX359" s="133" t="s">
        <v>599</v>
      </c>
      <c r="BY359" s="133" t="s">
        <v>599</v>
      </c>
      <c r="BZ359" s="133" t="s">
        <v>599</v>
      </c>
      <c r="CA359" s="133" t="s">
        <v>599</v>
      </c>
      <c r="CB359" s="133" t="s">
        <v>599</v>
      </c>
      <c r="CC359" s="133" t="s">
        <v>599</v>
      </c>
      <c r="CD359" s="133" t="s">
        <v>599</v>
      </c>
      <c r="CE359" s="133" t="s">
        <v>599</v>
      </c>
      <c r="CF359" s="133" t="s">
        <v>599</v>
      </c>
    </row>
    <row r="360" spans="6:84">
      <c r="BE360" s="706">
        <f>_xll.xlDateShiftMonth(BE359,1)</f>
        <v>53810</v>
      </c>
      <c r="BF360" s="707">
        <v>3.6538038393006081E-2</v>
      </c>
    </row>
    <row r="361" spans="6:84">
      <c r="BE361" s="706">
        <f>_xll.xlDateShiftMonth(BE360,1)</f>
        <v>53840</v>
      </c>
      <c r="BF361" s="707">
        <v>3.672095490088742E-2</v>
      </c>
    </row>
    <row r="362" spans="6:84">
      <c r="BE362" s="706">
        <f>_xll.xlDateShiftMonth(BE361,1)</f>
        <v>53871</v>
      </c>
      <c r="BF362" s="707">
        <v>3.6912484372022464E-2</v>
      </c>
    </row>
    <row r="363" spans="6:84">
      <c r="BE363" s="706">
        <f>_xll.xlDateShiftMonth(BE362,1)</f>
        <v>53901</v>
      </c>
      <c r="BF363" s="707">
        <v>3.7100289663682756E-2</v>
      </c>
    </row>
    <row r="364" spans="6:84">
      <c r="BE364" s="706">
        <f>_xll.xlDateShiftMonth(BE363,1)</f>
        <v>53932</v>
      </c>
      <c r="BF364" s="707">
        <v>3.7296911601769213E-2</v>
      </c>
    </row>
    <row r="365" spans="6:84">
      <c r="BE365" s="706">
        <f>_xll.xlDateShiftMonth(BE364,1)</f>
        <v>53963</v>
      </c>
      <c r="BF365" s="707">
        <v>3.7496152727986565E-2</v>
      </c>
    </row>
    <row r="366" spans="6:84">
      <c r="BE366" s="706">
        <f>_xll.xlDateShiftMonth(BE365,1)</f>
        <v>53993</v>
      </c>
      <c r="BF366" s="707">
        <v>3.7691480349762656E-2</v>
      </c>
    </row>
    <row r="367" spans="6:84">
      <c r="BE367" s="706">
        <f>_xll.xlDateShiftMonth(BE366,1)</f>
        <v>54024</v>
      </c>
      <c r="BF367" s="707">
        <v>3.789593678167278E-2</v>
      </c>
    </row>
    <row r="368" spans="6:84">
      <c r="BE368" s="706">
        <f>_xll.xlDateShiftMonth(BE367,1)</f>
        <v>54054</v>
      </c>
      <c r="BF368" s="707">
        <v>3.8096350883519134E-2</v>
      </c>
    </row>
    <row r="369" spans="57:58">
      <c r="BE369" s="706">
        <f>_xll.xlDateShiftMonth(BE368,1)</f>
        <v>54085</v>
      </c>
      <c r="BF369" s="707">
        <v>3.8306104068548362E-2</v>
      </c>
    </row>
    <row r="370" spans="57:58">
      <c r="BE370" s="706">
        <f>_xll.xlDateShiftMonth(BE369,1)</f>
        <v>54116</v>
      </c>
      <c r="BF370" s="707">
        <v>3.8518580259269117E-2</v>
      </c>
    </row>
    <row r="371" spans="57:58">
      <c r="BE371" s="706">
        <f>_xll.xlDateShiftMonth(BE370,1)</f>
        <v>54145</v>
      </c>
      <c r="BF371" s="707">
        <v>3.8719832098231072E-2</v>
      </c>
    </row>
    <row r="372" spans="57:58">
      <c r="BE372" s="706">
        <f>_xll.xlDateShiftMonth(BE371,1)</f>
        <v>54176</v>
      </c>
      <c r="BF372" s="707">
        <v>3.8937638378386513E-2</v>
      </c>
    </row>
    <row r="373" spans="57:58">
      <c r="BE373" s="706">
        <f>_xll.xlDateShiftMonth(BE372,1)</f>
        <v>54206</v>
      </c>
      <c r="BF373" s="707">
        <v>3.9151069890291559E-2</v>
      </c>
    </row>
    <row r="374" spans="57:58">
      <c r="BE374" s="706">
        <f>_xll.xlDateShiftMonth(BE373,1)</f>
        <v>54237</v>
      </c>
      <c r="BF374" s="707">
        <v>3.937437587453009E-2</v>
      </c>
    </row>
    <row r="375" spans="57:58">
      <c r="BE375" s="706">
        <f>_xll.xlDateShiftMonth(BE374,1)</f>
        <v>54267</v>
      </c>
      <c r="BF375" s="707">
        <v>3.9593169090754089E-2</v>
      </c>
    </row>
    <row r="376" spans="57:58">
      <c r="BE376" s="706">
        <f>_xll.xlDateShiftMonth(BE375,1)</f>
        <v>54298</v>
      </c>
      <c r="BF376" s="707">
        <v>3.9822056226502041E-2</v>
      </c>
    </row>
    <row r="377" spans="57:58">
      <c r="BE377" s="706">
        <f>_xll.xlDateShiftMonth(BE376,1)</f>
        <v>54329</v>
      </c>
      <c r="BF377" s="707">
        <v>4.0053810898271015E-2</v>
      </c>
    </row>
    <row r="378" spans="57:58">
      <c r="BE378" s="706">
        <f>_xll.xlDateShiftMonth(BE377,1)</f>
        <v>54359</v>
      </c>
      <c r="BF378" s="707">
        <v>4.0280839701818678E-2</v>
      </c>
    </row>
    <row r="379" spans="57:58">
      <c r="BE379" s="706">
        <f>_xll.xlDateShiftMonth(BE378,1)</f>
        <v>54390</v>
      </c>
      <c r="BF379" s="707">
        <v>4.0518298363838426E-2</v>
      </c>
    </row>
    <row r="380" spans="57:58">
      <c r="BE380" s="706">
        <f>_xll.xlDateShiftMonth(BE379,1)</f>
        <v>54420</v>
      </c>
      <c r="BF380" s="707">
        <v>4.0750886567996358E-2</v>
      </c>
    </row>
    <row r="381" spans="57:58">
      <c r="BE381" s="706">
        <f>_xll.xlDateShiftMonth(BE380,1)</f>
        <v>54451</v>
      </c>
      <c r="BF381" s="707">
        <v>4.099413066769321E-2</v>
      </c>
    </row>
    <row r="382" spans="57:58">
      <c r="BE382" s="706">
        <f>_xll.xlDateShiftMonth(BE381,1)</f>
        <v>54482</v>
      </c>
      <c r="BF382" s="707">
        <v>4.124034612097173E-2</v>
      </c>
    </row>
    <row r="383" spans="57:58">
      <c r="BE383" s="706">
        <f>_xll.xlDateShiftMonth(BE382,1)</f>
        <v>54510</v>
      </c>
      <c r="BF383" s="707">
        <v>4.1465305710854924E-2</v>
      </c>
    </row>
    <row r="384" spans="57:58">
      <c r="BE384" s="706">
        <f>_xll.xlDateShiftMonth(BE383,1)</f>
        <v>54541</v>
      </c>
      <c r="BF384" s="707">
        <v>4.1717234435144426E-2</v>
      </c>
    </row>
    <row r="385" spans="57:58">
      <c r="BE385" s="706">
        <f>_xll.xlDateShiftMonth(BE384,1)</f>
        <v>54571</v>
      </c>
      <c r="BF385" s="707">
        <v>4.1963923481382892E-2</v>
      </c>
    </row>
    <row r="386" spans="57:58">
      <c r="BE386" s="706">
        <f>_xll.xlDateShiftMonth(BE385,1)</f>
        <v>54602</v>
      </c>
      <c r="BF386" s="707">
        <v>4.2221839259109772E-2</v>
      </c>
    </row>
    <row r="387" spans="57:58">
      <c r="BE387" s="706">
        <f>_xll.xlDateShiftMonth(BE386,1)</f>
        <v>54632</v>
      </c>
      <c r="BF387" s="707">
        <v>4.2474361638074568E-2</v>
      </c>
    </row>
    <row r="388" spans="57:58">
      <c r="BE388" s="706">
        <f>_xll.xlDateShiftMonth(BE387,1)</f>
        <v>54663</v>
      </c>
      <c r="BF388" s="707">
        <v>4.2738345916665151E-2</v>
      </c>
    </row>
    <row r="389" spans="57:58">
      <c r="BE389" s="706">
        <f>_xll.xlDateShiftMonth(BE388,1)</f>
        <v>54694</v>
      </c>
      <c r="BF389" s="707">
        <v>4.3005445400620748E-2</v>
      </c>
    </row>
    <row r="390" spans="57:58">
      <c r="BE390" s="706">
        <f>_xll.xlDateShiftMonth(BE389,1)</f>
        <v>54724</v>
      </c>
      <c r="BF390" s="707">
        <v>4.3266914675326895E-2</v>
      </c>
    </row>
    <row r="391" spans="57:58">
      <c r="BE391" s="706">
        <f>_xll.xlDateShiftMonth(BE390,1)</f>
        <v>54755</v>
      </c>
      <c r="BF391" s="707">
        <v>4.3540205498887562E-2</v>
      </c>
    </row>
    <row r="392" spans="57:58">
      <c r="BE392" s="706">
        <f>_xll.xlDateShiftMonth(BE391,1)</f>
        <v>54785</v>
      </c>
      <c r="BF392" s="707">
        <v>4.3807705802611355E-2</v>
      </c>
    </row>
    <row r="393" spans="57:58">
      <c r="BE393" s="706">
        <f>_xll.xlDateShiftMonth(BE392,1)</f>
        <v>54816</v>
      </c>
      <c r="BF393" s="707">
        <v>4.4087269413203414E-2</v>
      </c>
    </row>
    <row r="394" spans="57:58">
      <c r="BE394" s="706">
        <f>_xll.xlDateShiftMonth(BE393,1)</f>
        <v>54847</v>
      </c>
      <c r="BF394" s="707">
        <v>4.437005204672112E-2</v>
      </c>
    </row>
    <row r="395" spans="57:58">
      <c r="BE395" s="706">
        <f>_xll.xlDateShiftMonth(BE394,1)</f>
        <v>54875</v>
      </c>
      <c r="BF395" s="707">
        <v>4.4628252934549945E-2</v>
      </c>
    </row>
    <row r="396" spans="57:58">
      <c r="BE396" s="706">
        <f>_xll.xlDateShiftMonth(BE395,1)</f>
        <v>54906</v>
      </c>
      <c r="BF396" s="707">
        <v>4.4917220209765567E-2</v>
      </c>
    </row>
    <row r="397" spans="57:58">
      <c r="BE397" s="706">
        <f>_xll.xlDateShiftMonth(BE396,1)</f>
        <v>54936</v>
      </c>
      <c r="BF397" s="707">
        <v>4.5199988829168487E-2</v>
      </c>
    </row>
    <row r="398" spans="57:58">
      <c r="BE398" s="706">
        <f>_xll.xlDateShiftMonth(BE397,1)</f>
        <v>54967</v>
      </c>
      <c r="BF398" s="707">
        <v>4.5495430507175784E-2</v>
      </c>
    </row>
    <row r="399" spans="57:58">
      <c r="BE399" s="706">
        <f>_xll.xlDateShiftMonth(BE398,1)</f>
        <v>54997</v>
      </c>
      <c r="BF399" s="707">
        <v>4.578450408771241E-2</v>
      </c>
    </row>
    <row r="400" spans="57:58">
      <c r="BE400" s="706">
        <f>_xll.xlDateShiftMonth(BE399,1)</f>
        <v>55028</v>
      </c>
      <c r="BF400" s="707">
        <v>4.6086501615937706E-2</v>
      </c>
    </row>
    <row r="401" spans="57:58">
      <c r="BE401" s="706">
        <f>_xll.xlDateShiftMonth(BE400,1)</f>
        <v>55059</v>
      </c>
      <c r="BF401" s="707">
        <v>4.6391862018871993E-2</v>
      </c>
    </row>
    <row r="402" spans="57:58">
      <c r="BE402" s="706">
        <f>_xll.xlDateShiftMonth(BE401,1)</f>
        <v>55089</v>
      </c>
      <c r="BF402" s="707">
        <v>4.6690593803567659E-2</v>
      </c>
    </row>
    <row r="403" spans="57:58">
      <c r="BE403" s="706">
        <f>_xll.xlDateShiftMonth(BE402,1)</f>
        <v>55120</v>
      </c>
      <c r="BF403" s="707">
        <v>4.7002632895461305E-2</v>
      </c>
    </row>
    <row r="404" spans="57:58">
      <c r="BE404" s="706">
        <f>_xll.xlDateShiftMonth(BE403,1)</f>
        <v>55150</v>
      </c>
      <c r="BF404" s="707">
        <v>4.7307867337581994E-2</v>
      </c>
    </row>
    <row r="405" spans="57:58">
      <c r="BE405" s="706">
        <f>_xll.xlDateShiftMonth(BE404,1)</f>
        <v>55181</v>
      </c>
      <c r="BF405" s="707">
        <v>4.7626666565861328E-2</v>
      </c>
    </row>
    <row r="406" spans="57:58">
      <c r="BE406" s="706">
        <f>_xll.xlDateShiftMonth(BE405,1)</f>
        <v>55212</v>
      </c>
      <c r="BF406" s="707">
        <v>4.7948932486410294E-2</v>
      </c>
    </row>
    <row r="407" spans="57:58">
      <c r="BE407" s="706">
        <f>_xll.xlDateShiftMonth(BE406,1)</f>
        <v>55240</v>
      </c>
      <c r="BF407" s="707">
        <v>4.8243008575093699E-2</v>
      </c>
    </row>
    <row r="408" spans="57:58">
      <c r="BE408" s="706">
        <f>_xll.xlDateShiftMonth(BE407,1)</f>
        <v>55271</v>
      </c>
      <c r="BF408" s="707">
        <v>4.8571930508027529E-2</v>
      </c>
    </row>
    <row r="409" spans="57:58">
      <c r="BE409" s="706">
        <f>_xll.xlDateShiftMonth(BE408,1)</f>
        <v>55301</v>
      </c>
      <c r="BF409" s="707">
        <v>4.8893600739425946E-2</v>
      </c>
    </row>
    <row r="410" spans="57:58">
      <c r="BE410" s="706">
        <f>_xll.xlDateShiftMonth(BE409,1)</f>
        <v>55332</v>
      </c>
      <c r="BF410" s="707">
        <v>4.9229484424505719E-2</v>
      </c>
    </row>
    <row r="411" spans="57:58">
      <c r="BE411" s="706">
        <f>_xll.xlDateShiftMonth(BE410,1)</f>
        <v>55362</v>
      </c>
      <c r="BF411" s="707">
        <v>4.9557931245445219E-2</v>
      </c>
    </row>
    <row r="412" spans="57:58">
      <c r="BE412" s="706">
        <f>_xll.xlDateShiftMonth(BE411,1)</f>
        <v>55393</v>
      </c>
      <c r="BF412" s="707">
        <v>4.9900858130097286E-2</v>
      </c>
    </row>
    <row r="413" spans="57:58">
      <c r="BE413" s="706">
        <f>_xll.xlDateShiftMonth(BE412,1)</f>
        <v>55424</v>
      </c>
      <c r="BF413" s="707">
        <v>5.0247395558802338E-2</v>
      </c>
    </row>
    <row r="414" spans="57:58">
      <c r="BE414" s="706">
        <f>_xll.xlDateShiftMonth(BE413,1)</f>
        <v>55454</v>
      </c>
      <c r="BF414" s="707">
        <v>5.0586211892318572E-2</v>
      </c>
    </row>
    <row r="415" spans="57:58">
      <c r="BE415" s="706">
        <f>_xll.xlDateShiftMonth(BE414,1)</f>
        <v>55485</v>
      </c>
      <c r="BF415" s="707">
        <v>5.0939915359337264E-2</v>
      </c>
    </row>
    <row r="416" spans="57:58">
      <c r="BE416" s="706">
        <f>_xll.xlDateShiftMonth(BE415,1)</f>
        <v>55515</v>
      </c>
      <c r="BF416" s="707">
        <v>5.128570597868589E-2</v>
      </c>
    </row>
    <row r="417" spans="57:58">
      <c r="BE417" s="706">
        <f>_xll.xlDateShiftMonth(BE416,1)</f>
        <v>55546</v>
      </c>
      <c r="BF417" s="707">
        <v>5.1646656931444559E-2</v>
      </c>
    </row>
    <row r="418" spans="57:58">
      <c r="BE418" s="706">
        <f>_xll.xlDateShiftMonth(BE417,1)</f>
        <v>55577</v>
      </c>
      <c r="BF418" s="707">
        <v>5.2011322245816852E-2</v>
      </c>
    </row>
    <row r="419" spans="57:58">
      <c r="BE419" s="706">
        <f>_xll.xlDateShiftMonth(BE418,1)</f>
        <v>55606</v>
      </c>
      <c r="BF419" s="707">
        <v>5.2355842036719433E-2</v>
      </c>
    </row>
    <row r="420" spans="57:58">
      <c r="BE420" s="706">
        <f>_xll.xlDateShiftMonth(BE419,1)</f>
        <v>55637</v>
      </c>
      <c r="BF420" s="707">
        <v>5.2727756193923989E-2</v>
      </c>
    </row>
    <row r="421" spans="57:58">
      <c r="BE421" s="706">
        <f>_xll.xlDateShiftMonth(BE420,1)</f>
        <v>55667</v>
      </c>
      <c r="BF421" s="707">
        <v>5.3091268263918925E-2</v>
      </c>
    </row>
    <row r="422" spans="57:58">
      <c r="BE422" s="706">
        <f>_xll.xlDateShiftMonth(BE421,1)</f>
        <v>55698</v>
      </c>
      <c r="BF422" s="707">
        <v>5.3470632857827445E-2</v>
      </c>
    </row>
    <row r="423" spans="57:58">
      <c r="BE423" s="706">
        <f>_xll.xlDateShiftMonth(BE422,1)</f>
        <v>55728</v>
      </c>
      <c r="BF423" s="707">
        <v>5.3841394437903471E-2</v>
      </c>
    </row>
    <row r="424" spans="57:58">
      <c r="BE424" s="706">
        <f>_xll.xlDateShiftMonth(BE423,1)</f>
        <v>55759</v>
      </c>
      <c r="BF424" s="707">
        <v>5.4228290915942279E-2</v>
      </c>
    </row>
    <row r="425" spans="57:58">
      <c r="BE425" s="706">
        <f>_xll.xlDateShiftMonth(BE424,1)</f>
        <v>55790</v>
      </c>
      <c r="BF425" s="707">
        <v>5.4619046285924212E-2</v>
      </c>
    </row>
    <row r="426" spans="57:58">
      <c r="BE426" s="706">
        <f>_xll.xlDateShiftMonth(BE425,1)</f>
        <v>55820</v>
      </c>
      <c r="BF426" s="707">
        <v>5.5000890635784824E-2</v>
      </c>
    </row>
    <row r="427" spans="57:58">
      <c r="BE427" s="706">
        <f>_xll.xlDateShiftMonth(BE426,1)</f>
        <v>55851</v>
      </c>
      <c r="BF427" s="707">
        <v>5.5399300728638398E-2</v>
      </c>
    </row>
    <row r="428" spans="57:58">
      <c r="BE428" s="706">
        <f>_xll.xlDateShiftMonth(BE427,1)</f>
        <v>55881</v>
      </c>
      <c r="BF428" s="707">
        <v>5.5788592284871423E-2</v>
      </c>
    </row>
    <row r="429" spans="57:58">
      <c r="BE429" s="706">
        <f>_xll.xlDateShiftMonth(BE428,1)</f>
        <v>55912</v>
      </c>
      <c r="BF429" s="707">
        <v>5.6194738548022975E-2</v>
      </c>
    </row>
    <row r="430" spans="57:58">
      <c r="BE430" s="706">
        <f>_xll.xlDateShiftMonth(BE429,1)</f>
        <v>55943</v>
      </c>
      <c r="BF430" s="707">
        <v>5.6604847520678271E-2</v>
      </c>
    </row>
    <row r="431" spans="57:58">
      <c r="BE431" s="706">
        <f>_xll.xlDateShiftMonth(BE430,1)</f>
        <v>55971</v>
      </c>
      <c r="BF431" s="707">
        <v>5.6978692058335334E-2</v>
      </c>
    </row>
    <row r="432" spans="57:58">
      <c r="BE432" s="706">
        <f>_xll.xlDateShiftMonth(BE431,1)</f>
        <v>56002</v>
      </c>
      <c r="BF432" s="707">
        <v>5.7396401076175912E-2</v>
      </c>
    </row>
    <row r="433" spans="57:58">
      <c r="BE433" s="706">
        <f>_xll.xlDateShiftMonth(BE432,1)</f>
        <v>56032</v>
      </c>
      <c r="BF433" s="707">
        <v>5.7804466567441641E-2</v>
      </c>
    </row>
    <row r="434" spans="57:58">
      <c r="BE434" s="706">
        <f>_xll.xlDateShiftMonth(BE433,1)</f>
        <v>56063</v>
      </c>
      <c r="BF434" s="707">
        <v>5.8230113371340465E-2</v>
      </c>
    </row>
    <row r="435" spans="57:58">
      <c r="BE435" s="706">
        <f>_xll.xlDateShiftMonth(BE434,1)</f>
        <v>56093</v>
      </c>
      <c r="BF435" s="707">
        <v>5.8645900001094667E-2</v>
      </c>
    </row>
    <row r="436" spans="57:58">
      <c r="BE436" s="706">
        <f>_xll.xlDateShiftMonth(BE435,1)</f>
        <v>56124</v>
      </c>
      <c r="BF436" s="707">
        <v>5.9079566038478068E-2</v>
      </c>
    </row>
    <row r="437" spans="57:58">
      <c r="BE437" s="706">
        <f>_xll.xlDateShiftMonth(BE436,1)</f>
        <v>56155</v>
      </c>
      <c r="BF437" s="707">
        <v>5.951733863714858E-2</v>
      </c>
    </row>
    <row r="438" spans="57:58">
      <c r="BE438" s="706">
        <f>_xll.xlDateShiftMonth(BE437,1)</f>
        <v>56185</v>
      </c>
      <c r="BF438" s="707">
        <v>5.9944919345105055E-2</v>
      </c>
    </row>
    <row r="439" spans="57:58">
      <c r="BE439" s="706">
        <f>_xll.xlDateShiftMonth(BE438,1)</f>
        <v>56216</v>
      </c>
      <c r="BF439" s="707">
        <v>6.0390834016001503E-2</v>
      </c>
    </row>
    <row r="440" spans="57:58">
      <c r="BE440" s="706">
        <f>_xll.xlDateShiftMonth(BE439,1)</f>
        <v>56246</v>
      </c>
      <c r="BF440" s="707">
        <v>6.0826333558737761E-2</v>
      </c>
    </row>
    <row r="441" spans="57:58">
      <c r="BE441" s="706">
        <f>_xll.xlDateShiftMonth(BE440,1)</f>
        <v>56277</v>
      </c>
      <c r="BF441" s="707">
        <v>6.1280471749286476E-2</v>
      </c>
    </row>
    <row r="442" spans="57:58">
      <c r="BE442" s="706">
        <f>_xll.xlDateShiftMonth(BE441,1)</f>
        <v>56308</v>
      </c>
      <c r="BF442" s="707">
        <v>6.173882031868292E-2</v>
      </c>
    </row>
    <row r="443" spans="57:58">
      <c r="BE443" s="706">
        <f>_xll.xlDateShiftMonth(BE442,1)</f>
        <v>56336</v>
      </c>
      <c r="BF443" s="707">
        <v>6.2156448982093826E-2</v>
      </c>
    </row>
    <row r="444" spans="57:58">
      <c r="BE444" s="706">
        <f>_xll.xlDateShiftMonth(BE443,1)</f>
        <v>56367</v>
      </c>
      <c r="BF444" s="707">
        <v>6.262286896736248E-2</v>
      </c>
    </row>
    <row r="445" spans="57:58">
      <c r="BE445" s="706">
        <f>_xll.xlDateShiftMonth(BE444,1)</f>
        <v>56397</v>
      </c>
      <c r="BF445" s="707">
        <v>6.3078309918730036E-2</v>
      </c>
    </row>
    <row r="446" spans="57:58">
      <c r="BE446" s="706">
        <f>_xll.xlDateShiftMonth(BE445,1)</f>
        <v>56428</v>
      </c>
      <c r="BF446" s="707">
        <v>6.3553155039411252E-2</v>
      </c>
    </row>
    <row r="447" spans="57:58">
      <c r="BE447" s="706">
        <f>_xll.xlDateShiftMonth(BE446,1)</f>
        <v>56458</v>
      </c>
      <c r="BF447" s="707">
        <v>6.4016788757674636E-2</v>
      </c>
    </row>
    <row r="448" spans="57:58">
      <c r="BE448" s="706">
        <f>_xll.xlDateShiftMonth(BE447,1)</f>
        <v>56489</v>
      </c>
      <c r="BF448" s="707">
        <v>6.4500140461194719E-2</v>
      </c>
    </row>
    <row r="449" spans="57:58">
      <c r="BE449" s="706">
        <f>_xll.xlDateShiftMonth(BE448,1)</f>
        <v>56520</v>
      </c>
      <c r="BF449" s="707">
        <v>6.4987846395345869E-2</v>
      </c>
    </row>
    <row r="450" spans="57:58">
      <c r="BE450" s="706">
        <f>_xll.xlDateShiftMonth(BE449,1)</f>
        <v>56550</v>
      </c>
      <c r="BF450" s="707">
        <v>6.5463985500229249E-2</v>
      </c>
    </row>
    <row r="451" spans="57:58">
      <c r="BE451" s="706">
        <f>_xll.xlDateShiftMonth(BE450,1)</f>
        <v>56581</v>
      </c>
      <c r="BF451" s="707">
        <v>6.5960320855960625E-2</v>
      </c>
    </row>
    <row r="452" spans="57:58">
      <c r="BE452" s="706">
        <f>_xll.xlDateShiftMonth(BE451,1)</f>
        <v>56611</v>
      </c>
      <c r="BF452" s="707">
        <v>6.6444850424031157E-2</v>
      </c>
    </row>
    <row r="453" spans="57:58">
      <c r="BE453" s="706">
        <f>_xll.xlDateShiftMonth(BE452,1)</f>
        <v>56642</v>
      </c>
      <c r="BF453" s="707">
        <v>6.6949896648769117E-2</v>
      </c>
    </row>
    <row r="454" spans="57:58">
      <c r="BE454" s="706">
        <f>_xll.xlDateShiftMonth(BE453,1)</f>
        <v>56673</v>
      </c>
      <c r="BF454" s="707">
        <v>6.7459400921698776E-2</v>
      </c>
    </row>
    <row r="455" spans="57:58">
      <c r="BE455" s="706">
        <f>_xll.xlDateShiftMonth(BE454,1)</f>
        <v>56701</v>
      </c>
      <c r="BF455" s="707">
        <v>6.7923447613772475E-2</v>
      </c>
    </row>
    <row r="456" spans="57:58">
      <c r="BE456" s="706">
        <f>_xll.xlDateShiftMonth(BE455,1)</f>
        <v>56732</v>
      </c>
      <c r="BF456" s="707">
        <v>6.8441494673261286E-2</v>
      </c>
    </row>
    <row r="457" spans="57:58">
      <c r="BE457" s="706">
        <f>_xll.xlDateShiftMonth(BE456,1)</f>
        <v>56762</v>
      </c>
      <c r="BF457" s="707">
        <v>6.8947133123561724E-2</v>
      </c>
    </row>
    <row r="458" spans="57:58">
      <c r="BE458" s="706">
        <f>_xll.xlDateShiftMonth(BE457,1)</f>
        <v>56793</v>
      </c>
      <c r="BF458" s="707">
        <v>6.9474092667817372E-2</v>
      </c>
    </row>
    <row r="459" spans="57:58">
      <c r="BE459" s="706">
        <f>_xll.xlDateShiftMonth(BE458,1)</f>
        <v>56823</v>
      </c>
      <c r="BF459" s="707">
        <v>6.9988395513421009E-2</v>
      </c>
    </row>
    <row r="460" spans="57:58">
      <c r="BE460" s="706">
        <f>_xll.xlDateShiftMonth(BE459,1)</f>
        <v>56854</v>
      </c>
      <c r="BF460" s="707">
        <v>7.0524348989869826E-2</v>
      </c>
    </row>
    <row r="461" spans="57:58">
      <c r="BE461" s="706">
        <f>_xll.xlDateShiftMonth(BE460,1)</f>
        <v>56885</v>
      </c>
      <c r="BF461" s="707">
        <v>7.1064904366293688E-2</v>
      </c>
    </row>
    <row r="462" spans="57:58">
      <c r="BE462" s="706">
        <f>_xll.xlDateShiftMonth(BE461,1)</f>
        <v>56915</v>
      </c>
      <c r="BF462" s="707">
        <v>7.1592423906935015E-2</v>
      </c>
    </row>
    <row r="463" spans="57:58">
      <c r="BE463" s="706">
        <f>_xll.xlDateShiftMonth(BE462,1)</f>
        <v>56946</v>
      </c>
      <c r="BF463" s="707">
        <v>7.2142096054293392E-2</v>
      </c>
    </row>
    <row r="464" spans="57:58">
      <c r="BE464" s="706">
        <f>_xll.xlDateShiftMonth(BE463,1)</f>
        <v>56976</v>
      </c>
      <c r="BF464" s="707">
        <v>7.2678477686529241E-2</v>
      </c>
    </row>
    <row r="465" spans="57:58">
      <c r="BE465" s="706">
        <f>_xll.xlDateShiftMonth(BE464,1)</f>
        <v>57007</v>
      </c>
      <c r="BF465" s="707">
        <v>7.3237348052248477E-2</v>
      </c>
    </row>
    <row r="466" spans="57:58">
      <c r="BE466" s="706">
        <f>_xll.xlDateShiftMonth(BE465,1)</f>
        <v>57038</v>
      </c>
      <c r="BF466" s="707">
        <v>7.3800924135503404E-2</v>
      </c>
    </row>
    <row r="467" spans="57:58">
      <c r="BE467" s="706">
        <f>_xll.xlDateShiftMonth(BE466,1)</f>
        <v>57067</v>
      </c>
      <c r="BF467" s="707">
        <v>7.4332419223885407E-2</v>
      </c>
    </row>
    <row r="468" spans="57:58">
      <c r="BE468" s="706">
        <f>_xll.xlDateShiftMonth(BE467,1)</f>
        <v>57098</v>
      </c>
      <c r="BF468" s="707">
        <v>7.4905162903370209E-2</v>
      </c>
    </row>
    <row r="469" spans="57:58">
      <c r="BE469" s="706">
        <f>_xll.xlDateShiftMonth(BE468,1)</f>
        <v>57128</v>
      </c>
      <c r="BF469" s="707">
        <v>7.546397002683998E-2</v>
      </c>
    </row>
    <row r="470" spans="57:58">
      <c r="BE470" s="706">
        <f>_xll.xlDateShiftMonth(BE469,1)</f>
        <v>57159</v>
      </c>
      <c r="BF470" s="707">
        <v>7.6046114875649606E-2</v>
      </c>
    </row>
    <row r="471" spans="57:58">
      <c r="BE471" s="706">
        <f>_xll.xlDateShiftMonth(BE470,1)</f>
        <v>57189</v>
      </c>
      <c r="BF471" s="707">
        <v>7.6614059314962596E-2</v>
      </c>
    </row>
    <row r="472" spans="57:58">
      <c r="BE472" s="706">
        <f>_xll.xlDateShiftMonth(BE471,1)</f>
        <v>57220</v>
      </c>
      <c r="BF472" s="707">
        <v>7.7205686780523392E-2</v>
      </c>
    </row>
    <row r="473" spans="57:58">
      <c r="BE473" s="706">
        <f>_xll.xlDateShiftMonth(BE472,1)</f>
        <v>57251</v>
      </c>
      <c r="BF473" s="707">
        <v>7.7802164493949402E-2</v>
      </c>
    </row>
    <row r="474" spans="57:58">
      <c r="BE474" s="706">
        <f>_xll.xlDateShiftMonth(BE473,1)</f>
        <v>57281</v>
      </c>
      <c r="BF474" s="707">
        <v>7.838403888550792E-2</v>
      </c>
    </row>
    <row r="475" spans="57:58">
      <c r="BE475" s="706">
        <f>_xll.xlDateShiftMonth(BE474,1)</f>
        <v>57312</v>
      </c>
      <c r="BF475" s="707">
        <v>7.8990122054426445E-2</v>
      </c>
    </row>
    <row r="476" spans="57:58">
      <c r="BE476" s="706">
        <f>_xll.xlDateShiftMonth(BE475,1)</f>
        <v>57342</v>
      </c>
      <c r="BF476" s="707">
        <v>7.9581331458119506E-2</v>
      </c>
    </row>
    <row r="477" spans="57:58">
      <c r="BE477" s="706">
        <f>_xll.xlDateShiftMonth(BE476,1)</f>
        <v>57373</v>
      </c>
      <c r="BF477" s="707">
        <v>8.0197101529956877E-2</v>
      </c>
    </row>
    <row r="478" spans="57:58">
      <c r="BE478" s="706">
        <f>_xll.xlDateShiftMonth(BE477,1)</f>
        <v>57404</v>
      </c>
      <c r="BF478" s="707">
        <v>8.0817825667220067E-2</v>
      </c>
    </row>
    <row r="479" spans="57:58">
      <c r="BE479" s="706">
        <f>_xll.xlDateShiftMonth(BE478,1)</f>
        <v>57432</v>
      </c>
      <c r="BF479" s="707">
        <v>8.1382755348343633E-2</v>
      </c>
    </row>
    <row r="480" spans="57:58">
      <c r="BE480" s="706">
        <f>_xll.xlDateShiftMonth(BE479,1)</f>
        <v>57463</v>
      </c>
      <c r="BF480" s="707">
        <v>8.2012966304966378E-2</v>
      </c>
    </row>
    <row r="481" spans="57:58">
      <c r="BE481" s="706">
        <f>_xll.xlDateShiftMonth(BE480,1)</f>
        <v>57493</v>
      </c>
      <c r="BF481" s="707">
        <v>8.2627622736644341E-2</v>
      </c>
    </row>
    <row r="482" spans="57:58">
      <c r="BE482" s="706">
        <f>_xll.xlDateShiftMonth(BE481,1)</f>
        <v>57524</v>
      </c>
      <c r="BF482" s="707">
        <v>8.3267722211946227E-2</v>
      </c>
    </row>
    <row r="483" spans="57:58">
      <c r="BE483" s="706">
        <f>_xll.xlDateShiftMonth(BE482,1)</f>
        <v>57554</v>
      </c>
      <c r="BF483" s="707">
        <v>8.3891987587874778E-2</v>
      </c>
    </row>
    <row r="484" spans="57:58">
      <c r="BE484" s="706">
        <f>_xll.xlDateShiftMonth(BE483,1)</f>
        <v>57585</v>
      </c>
      <c r="BF484" s="707">
        <v>8.4542057029282136E-2</v>
      </c>
    </row>
    <row r="485" spans="57:58">
      <c r="BE485" s="706">
        <f>_xll.xlDateShiftMonth(BE484,1)</f>
        <v>57616</v>
      </c>
      <c r="BF485" s="707">
        <v>8.519722438789866E-2</v>
      </c>
    </row>
    <row r="486" spans="57:58">
      <c r="BE486" s="706">
        <f>_xll.xlDateShiftMonth(BE485,1)</f>
        <v>57646</v>
      </c>
      <c r="BF486" s="707">
        <v>8.583613102449042E-2</v>
      </c>
    </row>
    <row r="487" spans="57:58">
      <c r="BE487" s="706">
        <f>_xll.xlDateShiftMonth(BE486,1)</f>
        <v>57677</v>
      </c>
      <c r="BF487" s="707">
        <v>8.6501391187953761E-2</v>
      </c>
    </row>
    <row r="488" spans="57:58">
      <c r="BE488" s="706">
        <f>_xll.xlDateShiftMonth(BE487,1)</f>
        <v>57707</v>
      </c>
      <c r="BF488" s="707">
        <v>8.7150104465087433E-2</v>
      </c>
    </row>
    <row r="489" spans="57:58">
      <c r="BE489" s="706">
        <f>_xll.xlDateShiftMonth(BE488,1)</f>
        <v>57738</v>
      </c>
      <c r="BF489" s="707">
        <v>8.7825538880823922E-2</v>
      </c>
    </row>
    <row r="490" spans="57:58">
      <c r="BE490" s="706">
        <f>_xll.xlDateShiftMonth(BE489,1)</f>
        <v>57769</v>
      </c>
      <c r="BF490" s="707">
        <v>8.8506175031330223E-2</v>
      </c>
    </row>
    <row r="491" spans="57:58">
      <c r="BE491" s="706">
        <f>_xll.xlDateShiftMonth(BE490,1)</f>
        <v>57797</v>
      </c>
      <c r="BF491" s="707">
        <v>8.9125431666015845E-2</v>
      </c>
    </row>
    <row r="492" spans="57:58">
      <c r="BE492" s="706">
        <f>_xll.xlDateShiftMonth(BE491,1)</f>
        <v>57828</v>
      </c>
      <c r="BF492" s="707">
        <v>8.9816026006568642E-2</v>
      </c>
    </row>
    <row r="493" spans="57:58">
      <c r="BE493" s="706">
        <f>_xll.xlDateShiftMonth(BE492,1)</f>
        <v>57858</v>
      </c>
      <c r="BF493" s="707">
        <v>9.0489353785285803E-2</v>
      </c>
    </row>
    <row r="494" spans="57:58">
      <c r="BE494" s="706">
        <f>_xll.xlDateShiftMonth(BE493,1)</f>
        <v>57889</v>
      </c>
      <c r="BF494" s="707">
        <v>9.119032399387203E-2</v>
      </c>
    </row>
    <row r="495" spans="57:58">
      <c r="BE495" s="706">
        <f>_xll.xlDateShiftMonth(BE494,1)</f>
        <v>57919</v>
      </c>
      <c r="BF495" s="707">
        <v>9.1873732345247164E-2</v>
      </c>
    </row>
    <row r="496" spans="57:58">
      <c r="BE496" s="706">
        <f>_xll.xlDateShiftMonth(BE495,1)</f>
        <v>57950</v>
      </c>
      <c r="BF496" s="707">
        <v>9.2585159869293124E-2</v>
      </c>
    </row>
    <row r="497" spans="57:58">
      <c r="BE497" s="706">
        <f>_xll.xlDateShiftMonth(BE496,1)</f>
        <v>57981</v>
      </c>
      <c r="BF497" s="707">
        <v>9.3301932979892255E-2</v>
      </c>
    </row>
    <row r="498" spans="57:58">
      <c r="BE498" s="706">
        <f>_xll.xlDateShiftMonth(BE497,1)</f>
        <v>58011</v>
      </c>
      <c r="BF498" s="707">
        <v>9.4000693900348292E-2</v>
      </c>
    </row>
    <row r="499" spans="57:58">
      <c r="BE499" s="706">
        <f>_xll.xlDateShiftMonth(BE498,1)</f>
        <v>58042</v>
      </c>
      <c r="BF499" s="707">
        <v>9.472804716514853E-2</v>
      </c>
    </row>
    <row r="500" spans="57:58">
      <c r="BE500" s="706">
        <f>_xll.xlDateShiftMonth(BE499,1)</f>
        <v>58072</v>
      </c>
      <c r="BF500" s="707">
        <v>9.5437086354553863E-2</v>
      </c>
    </row>
    <row r="501" spans="57:58">
      <c r="BE501" s="706">
        <f>_xll.xlDateShiftMonth(BE500,1)</f>
        <v>58103</v>
      </c>
      <c r="BF501" s="707">
        <v>9.6175101220981538E-2</v>
      </c>
    </row>
    <row r="502" spans="57:58">
      <c r="BE502" s="706">
        <f>_xll.xlDateShiftMonth(BE501,1)</f>
        <v>58134</v>
      </c>
      <c r="BF502" s="707">
        <v>9.6918565491523015E-2</v>
      </c>
    </row>
    <row r="503" spans="57:58">
      <c r="BE503" s="706">
        <f>_xll.xlDateShiftMonth(BE502,1)</f>
        <v>58162</v>
      </c>
      <c r="BF503" s="707">
        <v>9.7594782982679651E-2</v>
      </c>
    </row>
    <row r="504" spans="57:58">
      <c r="BE504" s="706">
        <f>_xll.xlDateShiftMonth(BE503,1)</f>
        <v>58193</v>
      </c>
      <c r="BF504" s="707">
        <v>9.8348676813954566E-2</v>
      </c>
    </row>
    <row r="505" spans="57:58">
      <c r="BE505" s="706">
        <f>_xll.xlDateShiftMonth(BE504,1)</f>
        <v>58223</v>
      </c>
      <c r="BF505" s="707">
        <v>9.9083497978541976E-2</v>
      </c>
    </row>
    <row r="506" spans="57:58">
      <c r="BE506" s="706">
        <f>_xll.xlDateShiftMonth(BE505,1)</f>
        <v>58254</v>
      </c>
      <c r="BF506" s="707">
        <v>9.9848255027204583E-2</v>
      </c>
    </row>
    <row r="507" spans="57:58">
      <c r="BE507" s="706">
        <f>_xll.xlDateShiftMonth(BE506,1)</f>
        <v>58284</v>
      </c>
      <c r="BF507" s="707">
        <v>0.10059362839285735</v>
      </c>
    </row>
    <row r="508" spans="57:58">
      <c r="BE508" s="706">
        <f>_xll.xlDateShiftMonth(BE507,1)</f>
        <v>58315</v>
      </c>
      <c r="BF508" s="707">
        <v>0.101369330106334</v>
      </c>
    </row>
    <row r="509" spans="57:58">
      <c r="BE509" s="706">
        <f>_xll.xlDateShiftMonth(BE508,1)</f>
        <v>58346</v>
      </c>
      <c r="BF509" s="707">
        <v>0.10215062507570781</v>
      </c>
    </row>
    <row r="510" spans="57:58">
      <c r="BE510" s="706">
        <f>_xll.xlDateShiftMonth(BE509,1)</f>
        <v>58376</v>
      </c>
      <c r="BF510" s="707">
        <v>0.10291206231885916</v>
      </c>
    </row>
    <row r="511" spans="57:58">
      <c r="BE511" s="706">
        <f>_xll.xlDateShiftMonth(BE510,1)</f>
        <v>58407</v>
      </c>
      <c r="BF511" s="707">
        <v>0.10370442479178835</v>
      </c>
    </row>
    <row r="512" spans="57:58">
      <c r="BE512" s="706">
        <f>_xll.xlDateShiftMonth(BE511,1)</f>
        <v>58437</v>
      </c>
      <c r="BF512" s="707">
        <v>0.10447661193229638</v>
      </c>
    </row>
    <row r="513" spans="57:58">
      <c r="BE513" s="706">
        <f>_xll.xlDateShiftMonth(BE512,1)</f>
        <v>58468</v>
      </c>
      <c r="BF513" s="707">
        <v>0.10528012335620732</v>
      </c>
    </row>
    <row r="514" spans="57:58">
      <c r="BE514" s="706">
        <f>_xll.xlDateShiftMonth(BE513,1)</f>
        <v>58499</v>
      </c>
      <c r="BF514" s="707">
        <v>0.10608933185357601</v>
      </c>
    </row>
    <row r="515" spans="57:58">
      <c r="BE515" s="706">
        <f>_xll.xlDateShiftMonth(BE514,1)</f>
        <v>58528</v>
      </c>
      <c r="BF515" s="707">
        <v>0.10685150958497619</v>
      </c>
    </row>
    <row r="516" spans="57:58">
      <c r="BE516" s="706">
        <f>_xll.xlDateShiftMonth(BE515,1)</f>
        <v>58559</v>
      </c>
      <c r="BF516" s="707">
        <v>0.10767180443197236</v>
      </c>
    </row>
    <row r="517" spans="57:58">
      <c r="BE517" s="706">
        <f>_xll.xlDateShiftMonth(BE516,1)</f>
        <v>58589</v>
      </c>
      <c r="BF517" s="707">
        <v>0.1084711211043019</v>
      </c>
    </row>
    <row r="518" spans="57:58">
      <c r="BE518" s="706">
        <f>_xll.xlDateShiftMonth(BE517,1)</f>
        <v>58620</v>
      </c>
      <c r="BF518" s="707">
        <v>0.10930276785324378</v>
      </c>
    </row>
    <row r="519" spans="57:58">
      <c r="BE519" s="706">
        <f>_xll.xlDateShiftMonth(BE518,1)</f>
        <v>58650</v>
      </c>
      <c r="BF519" s="707">
        <v>0.11011310964717871</v>
      </c>
    </row>
    <row r="520" spans="57:58">
      <c r="BE520" s="706">
        <f>_xll.xlDateShiftMonth(BE519,1)</f>
        <v>58681</v>
      </c>
      <c r="BF520" s="707">
        <v>0.11095618974549261</v>
      </c>
    </row>
    <row r="521" spans="57:58">
      <c r="BE521" s="706">
        <f>_xll.xlDateShiftMonth(BE520,1)</f>
        <v>58712</v>
      </c>
      <c r="BF521" s="707">
        <v>0.11180511144759378</v>
      </c>
    </row>
    <row r="522" spans="57:58">
      <c r="BE522" s="706">
        <f>_xll.xlDateShiftMonth(BE521,1)</f>
        <v>58742</v>
      </c>
      <c r="BF522" s="707">
        <v>0.11263223037623518</v>
      </c>
    </row>
    <row r="523" spans="57:58">
      <c r="BE523" s="706">
        <f>_xll.xlDateShiftMonth(BE522,1)</f>
        <v>58773</v>
      </c>
      <c r="BF523" s="707">
        <v>0.11349270826644973</v>
      </c>
    </row>
    <row r="524" spans="57:58">
      <c r="BE524" s="706">
        <f>_xll.xlDateShiftMonth(BE523,1)</f>
        <v>58803</v>
      </c>
      <c r="BF524" s="707">
        <v>0.11433105001298779</v>
      </c>
    </row>
    <row r="525" spans="57:58">
      <c r="BE525" s="706">
        <f>_xll.xlDateShiftMonth(BE524,1)</f>
        <v>58834</v>
      </c>
      <c r="BF525" s="707">
        <v>0.1152031655387421</v>
      </c>
    </row>
    <row r="526" spans="57:58">
      <c r="BE526" s="706">
        <f>_xll.xlDateShiftMonth(BE525,1)</f>
        <v>58865</v>
      </c>
      <c r="BF526" s="707">
        <v>0.11608122648584432</v>
      </c>
    </row>
    <row r="527" spans="57:58">
      <c r="BE527" s="706">
        <f>_xll.xlDateShiftMonth(BE526,1)</f>
        <v>58893</v>
      </c>
      <c r="BF527" s="707">
        <v>0.116879441506127</v>
      </c>
    </row>
    <row r="528" spans="57:58">
      <c r="BE528" s="706">
        <f>_xll.xlDateShiftMonth(BE527,1)</f>
        <v>58924</v>
      </c>
      <c r="BF528" s="707">
        <v>0.11776887604676306</v>
      </c>
    </row>
    <row r="529" spans="57:58">
      <c r="BE529" s="706">
        <f>_xll.xlDateShiftMonth(BE528,1)</f>
        <v>58954</v>
      </c>
      <c r="BF529" s="707">
        <v>0.11863533791423819</v>
      </c>
    </row>
    <row r="530" spans="57:58">
      <c r="BE530" s="706">
        <f>_xll.xlDateShiftMonth(BE529,1)</f>
        <v>58985</v>
      </c>
      <c r="BF530" s="707">
        <v>0.11953661170617426</v>
      </c>
    </row>
    <row r="531" spans="57:58">
      <c r="BE531" s="706">
        <f>_xll.xlDateShiftMonth(BE530,1)</f>
        <v>59015</v>
      </c>
      <c r="BF531" s="707">
        <v>0.12041457032366212</v>
      </c>
    </row>
    <row r="532" spans="57:58">
      <c r="BE532" s="706">
        <f>_xll.xlDateShiftMonth(BE531,1)</f>
        <v>59046</v>
      </c>
      <c r="BF532" s="707">
        <v>0.12132776481432452</v>
      </c>
    </row>
    <row r="533" spans="57:58">
      <c r="BE533" s="706">
        <f>_xll.xlDateShiftMonth(BE532,1)</f>
        <v>59077</v>
      </c>
      <c r="BF533" s="707">
        <v>0.12224704857811819</v>
      </c>
    </row>
    <row r="534" spans="57:58">
      <c r="BE534" s="706">
        <f>_xll.xlDateShiftMonth(BE533,1)</f>
        <v>59107</v>
      </c>
      <c r="BF534" s="707">
        <v>0.12314249563873018</v>
      </c>
    </row>
    <row r="535" spans="57:58">
      <c r="BE535" s="706">
        <f>_xll.xlDateShiftMonth(BE534,1)</f>
        <v>59138</v>
      </c>
      <c r="BF535" s="707">
        <v>0.12407382293999154</v>
      </c>
    </row>
    <row r="536" spans="57:58">
      <c r="BE536" s="706">
        <f>_xll.xlDateShiftMonth(BE535,1)</f>
        <v>59168</v>
      </c>
      <c r="BF536" s="707">
        <v>0.12498096444690759</v>
      </c>
    </row>
    <row r="537" spans="57:58">
      <c r="BE537" s="706">
        <f>_xll.xlDateShiftMonth(BE536,1)</f>
        <v>59199</v>
      </c>
      <c r="BF537" s="707">
        <v>0.12592441673306298</v>
      </c>
    </row>
    <row r="538" spans="57:58">
      <c r="BE538" s="706">
        <f>_xll.xlDateShiftMonth(BE537,1)</f>
        <v>59230</v>
      </c>
      <c r="BF538" s="707">
        <v>0.12687406210991026</v>
      </c>
    </row>
    <row r="539" spans="57:58">
      <c r="BE539" s="706">
        <f>_xll.xlDateShiftMonth(BE538,1)</f>
        <v>59258</v>
      </c>
      <c r="BF539" s="707">
        <v>0.12773714691156321</v>
      </c>
    </row>
    <row r="540" spans="57:58">
      <c r="BE540" s="706">
        <f>_xll.xlDateShiftMonth(BE539,1)</f>
        <v>59289</v>
      </c>
      <c r="BF540" s="707">
        <v>0.12869863725263125</v>
      </c>
    </row>
    <row r="541" spans="57:58">
      <c r="BE541" s="706">
        <f>_xll.xlDateShiftMonth(BE540,1)</f>
        <v>59319</v>
      </c>
      <c r="BF541" s="707">
        <v>0.12963506635408298</v>
      </c>
    </row>
    <row r="542" spans="57:58">
      <c r="BE542" s="706">
        <f>_xll.xlDateShiftMonth(BE541,1)</f>
        <v>59350</v>
      </c>
      <c r="BF542" s="707">
        <v>0.13060888329580533</v>
      </c>
    </row>
    <row r="543" spans="57:58">
      <c r="BE543" s="706">
        <f>_xll.xlDateShiftMonth(BE542,1)</f>
        <v>59380</v>
      </c>
      <c r="BF543" s="707">
        <v>0.13155728077567716</v>
      </c>
    </row>
    <row r="544" spans="57:58">
      <c r="BE544" s="706">
        <f>_xll.xlDateShiftMonth(BE543,1)</f>
        <v>59411</v>
      </c>
      <c r="BF544" s="707">
        <v>0.13254350576548013</v>
      </c>
    </row>
    <row r="545" spans="57:58">
      <c r="BE545" s="706">
        <f>_xll.xlDateShiftMonth(BE544,1)</f>
        <v>59442</v>
      </c>
      <c r="BF545" s="707">
        <v>0.13353606769775839</v>
      </c>
    </row>
    <row r="546" spans="57:58">
      <c r="BE546" s="706">
        <f>_xll.xlDateShiftMonth(BE545,1)</f>
        <v>59472</v>
      </c>
      <c r="BF546" s="707">
        <v>0.13450266492917201</v>
      </c>
    </row>
    <row r="547" spans="57:58">
      <c r="BE547" s="706">
        <f>_xll.xlDateShiftMonth(BE546,1)</f>
        <v>59503</v>
      </c>
      <c r="BF547" s="707">
        <v>0.13550775774827223</v>
      </c>
    </row>
    <row r="548" spans="57:58">
      <c r="BE548" s="706">
        <f>_xll.xlDateShiftMonth(BE547,1)</f>
        <v>59533</v>
      </c>
      <c r="BF548" s="707">
        <v>0.13648652105439729</v>
      </c>
    </row>
    <row r="549" spans="57:58">
      <c r="BE549" s="706">
        <f>_xll.xlDateShiftMonth(BE548,1)</f>
        <v>59564</v>
      </c>
      <c r="BF549" s="707">
        <v>0.13750422620774583</v>
      </c>
    </row>
    <row r="550" spans="57:58">
      <c r="BE550" s="706">
        <f>_xll.xlDateShiftMonth(BE549,1)</f>
        <v>59595</v>
      </c>
      <c r="BF550" s="707">
        <v>0.13852837212113023</v>
      </c>
    </row>
    <row r="551" spans="57:58">
      <c r="BE551" s="706">
        <f>_xll.xlDateShiftMonth(BE550,1)</f>
        <v>59623</v>
      </c>
      <c r="BF551" s="707">
        <v>0.13945896060706242</v>
      </c>
    </row>
    <row r="552" spans="57:58">
      <c r="BE552" s="706">
        <f>_xll.xlDateShiftMonth(BE551,1)</f>
        <v>59654</v>
      </c>
      <c r="BF552" s="707">
        <v>0.14049542285535455</v>
      </c>
    </row>
    <row r="553" spans="57:58">
      <c r="BE553" s="706">
        <f>_xll.xlDateShiftMonth(BE552,1)</f>
        <v>59684</v>
      </c>
      <c r="BF553" s="707">
        <v>0.14150464122961387</v>
      </c>
    </row>
    <row r="554" spans="57:58">
      <c r="BE554" s="706">
        <f>_xll.xlDateShiftMonth(BE553,1)</f>
        <v>59715</v>
      </c>
      <c r="BF554" s="707">
        <v>0.14255391742791459</v>
      </c>
    </row>
    <row r="555" spans="57:58">
      <c r="BE555" s="706">
        <f>_xll.xlDateShiftMonth(BE554,1)</f>
        <v>59745</v>
      </c>
      <c r="BF555" s="707">
        <v>0.14357557580900138</v>
      </c>
    </row>
    <row r="556" spans="57:58">
      <c r="BE556" s="706">
        <f>_xll.xlDateShiftMonth(BE555,1)</f>
        <v>59776</v>
      </c>
      <c r="BF556" s="707">
        <v>0.14463774740473706</v>
      </c>
    </row>
    <row r="557" spans="57:58">
      <c r="BE557" s="706">
        <f>_xll.xlDateShiftMonth(BE556,1)</f>
        <v>59807</v>
      </c>
      <c r="BF557" s="707">
        <v>0.1457065036122919</v>
      </c>
    </row>
    <row r="558" spans="57:58">
      <c r="BE558" s="706">
        <f>_xll.xlDateShiftMonth(BE557,1)</f>
        <v>59837</v>
      </c>
      <c r="BF558" s="707">
        <v>0.14674707305333823</v>
      </c>
    </row>
    <row r="559" spans="57:58">
      <c r="BE559" s="706">
        <f>_xll.xlDateShiftMonth(BE558,1)</f>
        <v>59868</v>
      </c>
      <c r="BF559" s="707">
        <v>0.14782884749706937</v>
      </c>
    </row>
    <row r="560" spans="57:58">
      <c r="BE560" s="706">
        <f>_xll.xlDateShiftMonth(BE559,1)</f>
        <v>59898</v>
      </c>
      <c r="BF560" s="707">
        <v>0.1488820546412345</v>
      </c>
    </row>
    <row r="561" spans="57:58">
      <c r="BE561" s="706">
        <f>_xll.xlDateShiftMonth(BE560,1)</f>
        <v>59929</v>
      </c>
      <c r="BF561" s="707">
        <v>0.14997692876856822</v>
      </c>
    </row>
    <row r="562" spans="57:58">
      <c r="BE562" s="706">
        <f>_xll.xlDateShiftMonth(BE561,1)</f>
        <v>59960</v>
      </c>
      <c r="BF562" s="707">
        <v>0.15107849132528184</v>
      </c>
    </row>
    <row r="563" spans="57:58">
      <c r="BE563" s="706">
        <f>_xll.xlDateShiftMonth(BE562,1)</f>
        <v>59989</v>
      </c>
      <c r="BF563" s="707">
        <v>0.15211505904523903</v>
      </c>
    </row>
    <row r="564" spans="57:58">
      <c r="BE564" s="706">
        <f>_xll.xlDateShiftMonth(BE563,1)</f>
        <v>60020</v>
      </c>
      <c r="BF564" s="707">
        <v>0.15322962670497764</v>
      </c>
    </row>
    <row r="565" spans="57:58">
      <c r="BE565" s="706">
        <f>_xll.xlDateShiftMonth(BE564,1)</f>
        <v>60050</v>
      </c>
      <c r="BF565" s="707">
        <v>0.15431466742155192</v>
      </c>
    </row>
    <row r="566" spans="57:58">
      <c r="BE566" s="706">
        <f>_xll.xlDateShiftMonth(BE565,1)</f>
        <v>60081</v>
      </c>
      <c r="BF566" s="707">
        <v>0.15544253771585714</v>
      </c>
    </row>
    <row r="567" spans="57:58">
      <c r="BE567" s="706">
        <f>_xll.xlDateShiftMonth(BE566,1)</f>
        <v>60111</v>
      </c>
      <c r="BF567" s="707">
        <v>0.15654049135979897</v>
      </c>
    </row>
    <row r="568" spans="57:58">
      <c r="BE568" s="706">
        <f>_xll.xlDateShiftMonth(BE567,1)</f>
        <v>60142</v>
      </c>
      <c r="BF568" s="707">
        <v>0.15768174573609706</v>
      </c>
    </row>
    <row r="569" spans="57:58">
      <c r="BE569" s="706">
        <f>_xll.xlDateShiftMonth(BE568,1)</f>
        <v>60173</v>
      </c>
      <c r="BF569" s="707">
        <v>0.15882983307210458</v>
      </c>
    </row>
    <row r="570" spans="57:58">
      <c r="BE570" s="706">
        <f>_xll.xlDateShiftMonth(BE569,1)</f>
        <v>60203</v>
      </c>
      <c r="BF570" s="707">
        <v>0.15994741103321375</v>
      </c>
    </row>
    <row r="571" spans="57:58">
      <c r="BE571" s="706">
        <f>_xll.xlDateShiftMonth(BE570,1)</f>
        <v>60234</v>
      </c>
      <c r="BF571" s="707">
        <v>0.16110900528995553</v>
      </c>
    </row>
    <row r="572" spans="57:58">
      <c r="BE572" s="706">
        <f>_xll.xlDateShiftMonth(BE571,1)</f>
        <v>60264</v>
      </c>
      <c r="BF572" s="707">
        <v>0.16223969387472353</v>
      </c>
    </row>
    <row r="573" spans="57:58">
      <c r="BE573" s="706">
        <f>_xll.xlDateShiftMonth(BE572,1)</f>
        <v>60295</v>
      </c>
      <c r="BF573" s="707">
        <v>0.16341487649962588</v>
      </c>
    </row>
    <row r="574" spans="57:58">
      <c r="BE574" s="706">
        <f>_xll.xlDateShiftMonth(BE573,1)</f>
        <v>60326</v>
      </c>
      <c r="BF574" s="707">
        <v>0.16459699590179822</v>
      </c>
    </row>
    <row r="575" spans="57:58">
      <c r="BE575" s="706">
        <f>_xll.xlDateShiftMonth(BE574,1)</f>
        <v>60354</v>
      </c>
      <c r="BF575" s="707">
        <v>0.16567069645693261</v>
      </c>
    </row>
    <row r="576" spans="57:58">
      <c r="BE576" s="706">
        <f>_xll.xlDateShiftMonth(BE575,1)</f>
        <v>60385</v>
      </c>
      <c r="BF576" s="707">
        <v>0.1668660762268131</v>
      </c>
    </row>
    <row r="577" spans="57:58">
      <c r="BE577" s="706">
        <f>_xll.xlDateShiftMonth(BE576,1)</f>
        <v>60415</v>
      </c>
      <c r="BF577" s="707">
        <v>0.16802955802547037</v>
      </c>
    </row>
    <row r="578" spans="57:58">
      <c r="BE578" s="706">
        <f>_xll.xlDateShiftMonth(BE577,1)</f>
        <v>60446</v>
      </c>
      <c r="BF578" s="707">
        <v>0.16923872777927174</v>
      </c>
    </row>
    <row r="579" spans="57:58">
      <c r="BE579" s="706">
        <f>_xll.xlDateShiftMonth(BE578,1)</f>
        <v>60476</v>
      </c>
      <c r="BF579" s="707">
        <v>0.17041559413370388</v>
      </c>
    </row>
    <row r="580" spans="57:58">
      <c r="BE580" s="706">
        <f>_xll.xlDateShiftMonth(BE579,1)</f>
        <v>60507</v>
      </c>
      <c r="BF580" s="707">
        <v>0.17163863531885243</v>
      </c>
    </row>
    <row r="581" spans="57:58">
      <c r="BE581" s="706">
        <f>_xll.xlDateShiftMonth(BE580,1)</f>
        <v>60538</v>
      </c>
      <c r="BF581" s="707">
        <v>0.17286875713305438</v>
      </c>
    </row>
    <row r="582" spans="57:58">
      <c r="BE582" s="706">
        <f>_xll.xlDateShiftMonth(BE581,1)</f>
        <v>60568</v>
      </c>
      <c r="BF582" s="707">
        <v>0.17406595911307154</v>
      </c>
    </row>
    <row r="583" spans="57:58">
      <c r="BE583" s="706">
        <f>_xll.xlDateShiftMonth(BE582,1)</f>
        <v>60599</v>
      </c>
      <c r="BF583" s="707">
        <v>0.17531007519736203</v>
      </c>
    </row>
    <row r="584" spans="57:58">
      <c r="BE584" s="706">
        <f>_xll.xlDateShiftMonth(BE583,1)</f>
        <v>60629</v>
      </c>
      <c r="BF584" s="707">
        <v>0.17652085942944545</v>
      </c>
    </row>
    <row r="585" spans="57:58">
      <c r="BE585" s="706">
        <f>_xll.xlDateShiftMonth(BE584,1)</f>
        <v>60660</v>
      </c>
      <c r="BF585" s="707">
        <v>0.17777905123125082</v>
      </c>
    </row>
    <row r="586" spans="57:58">
      <c r="BE586" s="706">
        <f>_xll.xlDateShiftMonth(BE585,1)</f>
        <v>60691</v>
      </c>
      <c r="BF586" s="707">
        <v>0.17904442747967014</v>
      </c>
    </row>
    <row r="587" spans="57:58">
      <c r="BE587" s="706">
        <f>_xll.xlDateShiftMonth(BE586,1)</f>
        <v>60719</v>
      </c>
      <c r="BF587" s="707">
        <v>0.18019354064398307</v>
      </c>
    </row>
    <row r="588" spans="57:58">
      <c r="BE588" s="706">
        <f>_xll.xlDateShiftMonth(BE587,1)</f>
        <v>60750</v>
      </c>
      <c r="BF588" s="707">
        <v>0.18147264863079754</v>
      </c>
    </row>
    <row r="589" spans="57:58">
      <c r="BE589" s="706">
        <f>_xll.xlDateShiftMonth(BE588,1)</f>
        <v>60780</v>
      </c>
      <c r="BF589" s="707">
        <v>0.18271739355036876</v>
      </c>
    </row>
    <row r="590" spans="57:58">
      <c r="BE590" s="706">
        <f>_xll.xlDateShiftMonth(BE589,1)</f>
        <v>60811</v>
      </c>
      <c r="BF590" s="707">
        <v>0.18401077887045836</v>
      </c>
    </row>
    <row r="591" spans="57:58">
      <c r="BE591" s="706">
        <f>_xll.xlDateShiftMonth(BE590,1)</f>
        <v>60841</v>
      </c>
      <c r="BF591" s="707">
        <v>0.18526937997421183</v>
      </c>
    </row>
    <row r="592" spans="57:58">
      <c r="BE592" s="706">
        <f>_xll.xlDateShiftMonth(BE591,1)</f>
        <v>60872</v>
      </c>
      <c r="BF592" s="707">
        <v>0.18657712407500293</v>
      </c>
    </row>
    <row r="593" spans="57:58">
      <c r="BE593" s="706">
        <f>_xll.xlDateShiftMonth(BE592,1)</f>
        <v>60903</v>
      </c>
      <c r="BF593" s="707">
        <v>0.18789219647419136</v>
      </c>
    </row>
    <row r="594" spans="57:58">
      <c r="BE594" s="706">
        <f>_xll.xlDateShiftMonth(BE593,1)</f>
        <v>60933</v>
      </c>
      <c r="BF594" s="707">
        <v>0.18917184451194757</v>
      </c>
    </row>
    <row r="595" spans="57:58">
      <c r="BE595" s="706">
        <f>_xll.xlDateShiftMonth(BE594,1)</f>
        <v>60964</v>
      </c>
      <c r="BF595" s="707">
        <v>0.1905013985305789</v>
      </c>
    </row>
    <row r="596" spans="57:58">
      <c r="BE596" s="706">
        <f>_xll.xlDateShiftMonth(BE595,1)</f>
        <v>60994</v>
      </c>
      <c r="BF596" s="707">
        <v>0.19179510044880865</v>
      </c>
    </row>
    <row r="597" spans="57:58">
      <c r="BE597" s="706">
        <f>_xll.xlDateShiftMonth(BE596,1)</f>
        <v>61025</v>
      </c>
      <c r="BF597" s="707">
        <v>0.19313921753430913</v>
      </c>
    </row>
    <row r="598" spans="57:58">
      <c r="BE598" s="706">
        <f>_xll.xlDateShiftMonth(BE597,1)</f>
        <v>61056</v>
      </c>
      <c r="BF598" s="707">
        <v>0.1944907667357676</v>
      </c>
    </row>
    <row r="599" spans="57:58">
      <c r="BE599" s="706">
        <f>_xll.xlDateShiftMonth(BE598,1)</f>
        <v>61084</v>
      </c>
      <c r="BF599" s="707">
        <v>0.19571792641216801</v>
      </c>
    </row>
    <row r="600" spans="57:58">
      <c r="BE600" s="706"/>
    </row>
    <row r="601" spans="57:58">
      <c r="BE601" s="706"/>
    </row>
    <row r="602" spans="57:58">
      <c r="BE602" s="706"/>
    </row>
    <row r="603" spans="57:58">
      <c r="BE603" s="706"/>
    </row>
    <row r="604" spans="57:58">
      <c r="BE604" s="706"/>
    </row>
    <row r="605" spans="57:58">
      <c r="BE605" s="706"/>
    </row>
    <row r="606" spans="57:58">
      <c r="BE606" s="706"/>
    </row>
    <row r="607" spans="57:58">
      <c r="BE607" s="706"/>
    </row>
    <row r="608" spans="57:58">
      <c r="BE608" s="706"/>
    </row>
    <row r="609" spans="57:57">
      <c r="BE609" s="706"/>
    </row>
    <row r="610" spans="57:57">
      <c r="BE610" s="706"/>
    </row>
    <row r="611" spans="57:57">
      <c r="BE611" s="706"/>
    </row>
    <row r="612" spans="57:57">
      <c r="BE612" s="706"/>
    </row>
    <row r="613" spans="57:57">
      <c r="BE613" s="706"/>
    </row>
    <row r="614" spans="57:57">
      <c r="BE614" s="706"/>
    </row>
    <row r="615" spans="57:57">
      <c r="BE615" s="706"/>
    </row>
    <row r="616" spans="57:57">
      <c r="BE616" s="706"/>
    </row>
    <row r="617" spans="57:57">
      <c r="BE617" s="706"/>
    </row>
    <row r="618" spans="57:57">
      <c r="BE618" s="706"/>
    </row>
    <row r="619" spans="57:57">
      <c r="BE619" s="706"/>
    </row>
    <row r="620" spans="57:57">
      <c r="BE620" s="706"/>
    </row>
    <row r="621" spans="57:57">
      <c r="BE621" s="706"/>
    </row>
    <row r="622" spans="57:57">
      <c r="BE622" s="706"/>
    </row>
    <row r="623" spans="57:57">
      <c r="BE623" s="706"/>
    </row>
    <row r="624" spans="57:57">
      <c r="BE624" s="706"/>
    </row>
    <row r="625" spans="57:57">
      <c r="BE625" s="706"/>
    </row>
    <row r="626" spans="57:57">
      <c r="BE626" s="706"/>
    </row>
    <row r="627" spans="57:57">
      <c r="BE627" s="706"/>
    </row>
    <row r="628" spans="57:57">
      <c r="BE628" s="706"/>
    </row>
    <row r="629" spans="57:57">
      <c r="BE629" s="706"/>
    </row>
    <row r="630" spans="57:57">
      <c r="BE630" s="706"/>
    </row>
    <row r="631" spans="57:57">
      <c r="BE631" s="706"/>
    </row>
    <row r="632" spans="57:57">
      <c r="BE632" s="706"/>
    </row>
    <row r="633" spans="57:57">
      <c r="BE633" s="706"/>
    </row>
    <row r="634" spans="57:57">
      <c r="BE634" s="706"/>
    </row>
    <row r="635" spans="57:57">
      <c r="BE635" s="706"/>
    </row>
    <row r="636" spans="57:57">
      <c r="BE636" s="706"/>
    </row>
    <row r="637" spans="57:57">
      <c r="BE637" s="706"/>
    </row>
    <row r="638" spans="57:57">
      <c r="BE638" s="706"/>
    </row>
    <row r="639" spans="57:57">
      <c r="BE639" s="706"/>
    </row>
    <row r="640" spans="57:57">
      <c r="BE640" s="706"/>
    </row>
    <row r="641" spans="57:57">
      <c r="BE641" s="706"/>
    </row>
    <row r="642" spans="57:57">
      <c r="BE642" s="706"/>
    </row>
    <row r="643" spans="57:57">
      <c r="BE643" s="706"/>
    </row>
    <row r="644" spans="57:57">
      <c r="BE644" s="706"/>
    </row>
    <row r="645" spans="57:57">
      <c r="BE645" s="706"/>
    </row>
    <row r="646" spans="57:57">
      <c r="BE646" s="706"/>
    </row>
    <row r="647" spans="57:57">
      <c r="BE647" s="706"/>
    </row>
    <row r="648" spans="57:57">
      <c r="BE648" s="706"/>
    </row>
    <row r="649" spans="57:57">
      <c r="BE649" s="706"/>
    </row>
    <row r="650" spans="57:57">
      <c r="BE650" s="706"/>
    </row>
    <row r="651" spans="57:57">
      <c r="BE651" s="706"/>
    </row>
    <row r="652" spans="57:57">
      <c r="BE652" s="706"/>
    </row>
    <row r="653" spans="57:57">
      <c r="BE653" s="706"/>
    </row>
    <row r="654" spans="57:57">
      <c r="BE654" s="706"/>
    </row>
    <row r="655" spans="57:57">
      <c r="BE655" s="706"/>
    </row>
    <row r="656" spans="57:57">
      <c r="BE656" s="706"/>
    </row>
    <row r="657" spans="57:57">
      <c r="BE657" s="706"/>
    </row>
    <row r="658" spans="57:57">
      <c r="BE658" s="706"/>
    </row>
    <row r="659" spans="57:57">
      <c r="BE659" s="706"/>
    </row>
    <row r="660" spans="57:57">
      <c r="BE660" s="706"/>
    </row>
    <row r="661" spans="57:57">
      <c r="BE661" s="706"/>
    </row>
    <row r="662" spans="57:57">
      <c r="BE662" s="706"/>
    </row>
    <row r="663" spans="57:57">
      <c r="BE663" s="706"/>
    </row>
    <row r="664" spans="57:57">
      <c r="BE664" s="706"/>
    </row>
    <row r="665" spans="57:57">
      <c r="BE665" s="706"/>
    </row>
    <row r="666" spans="57:57">
      <c r="BE666" s="706"/>
    </row>
    <row r="667" spans="57:57">
      <c r="BE667" s="706"/>
    </row>
    <row r="668" spans="57:57">
      <c r="BE668" s="706"/>
    </row>
    <row r="669" spans="57:57">
      <c r="BE669" s="706"/>
    </row>
    <row r="670" spans="57:57">
      <c r="BE670" s="706"/>
    </row>
    <row r="671" spans="57:57">
      <c r="BE671" s="706"/>
    </row>
    <row r="672" spans="57:57">
      <c r="BE672" s="706"/>
    </row>
    <row r="673" spans="57:57">
      <c r="BE673" s="706"/>
    </row>
    <row r="674" spans="57:57">
      <c r="BE674" s="706"/>
    </row>
    <row r="675" spans="57:57">
      <c r="BE675" s="706"/>
    </row>
    <row r="676" spans="57:57">
      <c r="BE676" s="706"/>
    </row>
  </sheetData>
  <phoneticPr fontId="0" type="noConversion"/>
  <conditionalFormatting sqref="I311:L327">
    <cfRule type="expression" dxfId="41" priority="80" stopIfTrue="1">
      <formula>$O311="Y"</formula>
    </cfRule>
  </conditionalFormatting>
  <conditionalFormatting sqref="A11:C143 AS324:AS327 AU311:AU327 AL11:AM11 AN320:AO327 AM12:AM327 AL12:AL310 AQ11:AQ327 AT11:AT310 AW11:BA143 AN11:AN319 AU11:AU143">
    <cfRule type="expression" dxfId="40" priority="81" stopIfTrue="1">
      <formula>$O11="Y"</formula>
    </cfRule>
    <cfRule type="expression" dxfId="39" priority="82" stopIfTrue="1">
      <formula>$F11=0</formula>
    </cfRule>
  </conditionalFormatting>
  <conditionalFormatting sqref="V33:V143 V11:V31 W11:AK143 AP11:AP310 D135:U135 U101:U134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91:F130 D154:F162">
    <cfRule type="expression" dxfId="0" priority="83" stopIfTrue="1">
      <formula>$E11=0</formula>
    </cfRule>
  </conditionalFormatting>
  <conditionalFormatting sqref="V32">
    <cfRule type="expression" dxfId="38" priority="84" stopIfTrue="1">
      <formula>$E31=0</formula>
    </cfRule>
  </conditionalFormatting>
  <conditionalFormatting sqref="AT311:AT321">
    <cfRule type="expression" dxfId="37" priority="77" stopIfTrue="1">
      <formula>$O311="Y"</formula>
    </cfRule>
    <cfRule type="expression" dxfId="36" priority="78" stopIfTrue="1">
      <formula>$F311=0</formula>
    </cfRule>
  </conditionalFormatting>
  <conditionalFormatting sqref="A144:C310 AU144:AU310 AW144:BA310">
    <cfRule type="expression" dxfId="35" priority="74" stopIfTrue="1">
      <formula>$O144="Y"</formula>
    </cfRule>
    <cfRule type="expression" dxfId="34" priority="75" stopIfTrue="1">
      <formula>$F144=0</formula>
    </cfRule>
  </conditionalFormatting>
  <conditionalFormatting sqref="AO11:AO319">
    <cfRule type="expression" dxfId="33" priority="70" stopIfTrue="1">
      <formula>$E11=0</formula>
    </cfRule>
  </conditionalFormatting>
  <conditionalFormatting sqref="AR12:AR327">
    <cfRule type="expression" dxfId="32" priority="59" stopIfTrue="1">
      <formula>$O12="Y"</formula>
    </cfRule>
    <cfRule type="expression" dxfId="31" priority="60" stopIfTrue="1">
      <formula>$F12=0</formula>
    </cfRule>
  </conditionalFormatting>
  <conditionalFormatting sqref="AS11:AS323">
    <cfRule type="expression" dxfId="30" priority="57" stopIfTrue="1">
      <formula>$O11="Y"</formula>
    </cfRule>
    <cfRule type="expression" dxfId="29" priority="58" stopIfTrue="1">
      <formula>$F11=0</formula>
    </cfRule>
  </conditionalFormatting>
  <conditionalFormatting sqref="BC11:BC81 BC90:BC248">
    <cfRule type="expression" dxfId="28" priority="48" stopIfTrue="1">
      <formula>$O11="Y"</formula>
    </cfRule>
    <cfRule type="expression" dxfId="27" priority="49" stopIfTrue="1">
      <formula>$F11=0</formula>
    </cfRule>
  </conditionalFormatting>
  <conditionalFormatting sqref="BC249:BC310">
    <cfRule type="expression" dxfId="26" priority="46" stopIfTrue="1">
      <formula>$O249="Y"</formula>
    </cfRule>
    <cfRule type="expression" dxfId="25" priority="47" stopIfTrue="1">
      <formula>$F249=0</formula>
    </cfRule>
  </conditionalFormatting>
  <conditionalFormatting sqref="AV11:AV89">
    <cfRule type="cellIs" dxfId="24" priority="41" operator="lessThan">
      <formula>-0.00015</formula>
    </cfRule>
    <cfRule type="cellIs" dxfId="23" priority="42" operator="greaterThan">
      <formula>0.00015</formula>
    </cfRule>
  </conditionalFormatting>
  <conditionalFormatting sqref="BC11:BC81">
    <cfRule type="containsText" dxfId="22" priority="39" operator="containsText" text="TRUE">
      <formula>NOT(ISERROR(SEARCH("TRUE",BC11)))</formula>
    </cfRule>
  </conditionalFormatting>
  <conditionalFormatting sqref="S181:T181">
    <cfRule type="expression" dxfId="21" priority="14" stopIfTrue="1">
      <formula>$E181=0</formula>
    </cfRule>
  </conditionalFormatting>
  <conditionalFormatting sqref="S101:T104 S106:T132 S134:T134">
    <cfRule type="expression" dxfId="20" priority="27" stopIfTrue="1">
      <formula>$E101=0</formula>
    </cfRule>
  </conditionalFormatting>
  <conditionalFormatting sqref="S143:T143">
    <cfRule type="expression" dxfId="19" priority="18" stopIfTrue="1">
      <formula>$E143=0</formula>
    </cfRule>
  </conditionalFormatting>
  <conditionalFormatting sqref="S136:T136">
    <cfRule type="expression" dxfId="18" priority="20" stopIfTrue="1">
      <formula>$E136=0</formula>
    </cfRule>
  </conditionalFormatting>
  <conditionalFormatting sqref="S141:T141">
    <cfRule type="expression" dxfId="17" priority="19" stopIfTrue="1">
      <formula>$E141=0</formula>
    </cfRule>
  </conditionalFormatting>
  <conditionalFormatting sqref="S148:T148">
    <cfRule type="expression" dxfId="16" priority="17" stopIfTrue="1">
      <formula>$E148=0</formula>
    </cfRule>
  </conditionalFormatting>
  <conditionalFormatting sqref="S158:T158">
    <cfRule type="expression" dxfId="15" priority="16" stopIfTrue="1">
      <formula>$E158=0</formula>
    </cfRule>
  </conditionalFormatting>
  <conditionalFormatting sqref="S178:T178">
    <cfRule type="expression" dxfId="14" priority="15" stopIfTrue="1">
      <formula>$E178=0</formula>
    </cfRule>
  </conditionalFormatting>
  <conditionalFormatting sqref="S105:T105">
    <cfRule type="expression" dxfId="13" priority="13" stopIfTrue="1">
      <formula>$E105=0</formula>
    </cfRule>
  </conditionalFormatting>
  <conditionalFormatting sqref="S137:T137">
    <cfRule type="expression" dxfId="12" priority="12" stopIfTrue="1">
      <formula>$E137=0</formula>
    </cfRule>
  </conditionalFormatting>
  <conditionalFormatting sqref="S138:T138">
    <cfRule type="expression" dxfId="11" priority="11" stopIfTrue="1">
      <formula>$E138=0</formula>
    </cfRule>
  </conditionalFormatting>
  <conditionalFormatting sqref="S145:T145">
    <cfRule type="expression" dxfId="10" priority="10" stopIfTrue="1">
      <formula>$E145=0</formula>
    </cfRule>
  </conditionalFormatting>
  <conditionalFormatting sqref="S155:T155">
    <cfRule type="expression" dxfId="9" priority="9" stopIfTrue="1">
      <formula>$E155=0</formula>
    </cfRule>
  </conditionalFormatting>
  <conditionalFormatting sqref="S175:T175">
    <cfRule type="expression" dxfId="8" priority="8" stopIfTrue="1">
      <formula>$E175=0</formula>
    </cfRule>
  </conditionalFormatting>
  <conditionalFormatting sqref="S248:T248">
    <cfRule type="expression" dxfId="7" priority="7" stopIfTrue="1">
      <formula>$E248=0</formula>
    </cfRule>
  </conditionalFormatting>
  <conditionalFormatting sqref="S133:T133">
    <cfRule type="expression" dxfId="6" priority="6" stopIfTrue="1">
      <formula>$E133=0</formula>
    </cfRule>
  </conditionalFormatting>
  <conditionalFormatting sqref="BC82:BC89">
    <cfRule type="expression" dxfId="5" priority="2" stopIfTrue="1">
      <formula>$O82="Y"</formula>
    </cfRule>
    <cfRule type="expression" dxfId="4" priority="3" stopIfTrue="1">
      <formula>$F82=0</formula>
    </cfRule>
  </conditionalFormatting>
  <conditionalFormatting sqref="BC82:BC89">
    <cfRule type="containsText" dxfId="3" priority="1" operator="containsText" text="TRUE">
      <formula>NOT(ISERROR(SEARCH("TRUE",BC82)))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ignoredErrors>
    <ignoredError sqref="U204:W310 Y204:AJ310" evalError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K24" sqref="K24"/>
    </sheetView>
  </sheetViews>
  <sheetFormatPr defaultRowHeight="15"/>
  <cols>
    <col min="1" max="3" width="9.140625" style="833"/>
    <col min="4" max="4" width="14.42578125" style="833" customWidth="1"/>
    <col min="5" max="22" width="9.140625" style="833"/>
    <col min="23" max="23" width="9.28515625" style="833" bestFit="1" customWidth="1"/>
    <col min="24" max="24" width="19.28515625" style="833" bestFit="1" customWidth="1"/>
    <col min="25" max="259" width="9.140625" style="833"/>
    <col min="260" max="260" width="14.42578125" style="833" customWidth="1"/>
    <col min="261" max="515" width="9.140625" style="833"/>
    <col min="516" max="516" width="14.42578125" style="833" customWidth="1"/>
    <col min="517" max="771" width="9.140625" style="833"/>
    <col min="772" max="772" width="14.42578125" style="833" customWidth="1"/>
    <col min="773" max="1027" width="9.140625" style="833"/>
    <col min="1028" max="1028" width="14.42578125" style="833" customWidth="1"/>
    <col min="1029" max="1283" width="9.140625" style="833"/>
    <col min="1284" max="1284" width="14.42578125" style="833" customWidth="1"/>
    <col min="1285" max="1539" width="9.140625" style="833"/>
    <col min="1540" max="1540" width="14.42578125" style="833" customWidth="1"/>
    <col min="1541" max="1795" width="9.140625" style="833"/>
    <col min="1796" max="1796" width="14.42578125" style="833" customWidth="1"/>
    <col min="1797" max="2051" width="9.140625" style="833"/>
    <col min="2052" max="2052" width="14.42578125" style="833" customWidth="1"/>
    <col min="2053" max="2307" width="9.140625" style="833"/>
    <col min="2308" max="2308" width="14.42578125" style="833" customWidth="1"/>
    <col min="2309" max="2563" width="9.140625" style="833"/>
    <col min="2564" max="2564" width="14.42578125" style="833" customWidth="1"/>
    <col min="2565" max="2819" width="9.140625" style="833"/>
    <col min="2820" max="2820" width="14.42578125" style="833" customWidth="1"/>
    <col min="2821" max="3075" width="9.140625" style="833"/>
    <col min="3076" max="3076" width="14.42578125" style="833" customWidth="1"/>
    <col min="3077" max="3331" width="9.140625" style="833"/>
    <col min="3332" max="3332" width="14.42578125" style="833" customWidth="1"/>
    <col min="3333" max="3587" width="9.140625" style="833"/>
    <col min="3588" max="3588" width="14.42578125" style="833" customWidth="1"/>
    <col min="3589" max="3843" width="9.140625" style="833"/>
    <col min="3844" max="3844" width="14.42578125" style="833" customWidth="1"/>
    <col min="3845" max="4099" width="9.140625" style="833"/>
    <col min="4100" max="4100" width="14.42578125" style="833" customWidth="1"/>
    <col min="4101" max="4355" width="9.140625" style="833"/>
    <col min="4356" max="4356" width="14.42578125" style="833" customWidth="1"/>
    <col min="4357" max="4611" width="9.140625" style="833"/>
    <col min="4612" max="4612" width="14.42578125" style="833" customWidth="1"/>
    <col min="4613" max="4867" width="9.140625" style="833"/>
    <col min="4868" max="4868" width="14.42578125" style="833" customWidth="1"/>
    <col min="4869" max="5123" width="9.140625" style="833"/>
    <col min="5124" max="5124" width="14.42578125" style="833" customWidth="1"/>
    <col min="5125" max="5379" width="9.140625" style="833"/>
    <col min="5380" max="5380" width="14.42578125" style="833" customWidth="1"/>
    <col min="5381" max="5635" width="9.140625" style="833"/>
    <col min="5636" max="5636" width="14.42578125" style="833" customWidth="1"/>
    <col min="5637" max="5891" width="9.140625" style="833"/>
    <col min="5892" max="5892" width="14.42578125" style="833" customWidth="1"/>
    <col min="5893" max="6147" width="9.140625" style="833"/>
    <col min="6148" max="6148" width="14.42578125" style="833" customWidth="1"/>
    <col min="6149" max="6403" width="9.140625" style="833"/>
    <col min="6404" max="6404" width="14.42578125" style="833" customWidth="1"/>
    <col min="6405" max="6659" width="9.140625" style="833"/>
    <col min="6660" max="6660" width="14.42578125" style="833" customWidth="1"/>
    <col min="6661" max="6915" width="9.140625" style="833"/>
    <col min="6916" max="6916" width="14.42578125" style="833" customWidth="1"/>
    <col min="6917" max="7171" width="9.140625" style="833"/>
    <col min="7172" max="7172" width="14.42578125" style="833" customWidth="1"/>
    <col min="7173" max="7427" width="9.140625" style="833"/>
    <col min="7428" max="7428" width="14.42578125" style="833" customWidth="1"/>
    <col min="7429" max="7683" width="9.140625" style="833"/>
    <col min="7684" max="7684" width="14.42578125" style="833" customWidth="1"/>
    <col min="7685" max="7939" width="9.140625" style="833"/>
    <col min="7940" max="7940" width="14.42578125" style="833" customWidth="1"/>
    <col min="7941" max="8195" width="9.140625" style="833"/>
    <col min="8196" max="8196" width="14.42578125" style="833" customWidth="1"/>
    <col min="8197" max="8451" width="9.140625" style="833"/>
    <col min="8452" max="8452" width="14.42578125" style="833" customWidth="1"/>
    <col min="8453" max="8707" width="9.140625" style="833"/>
    <col min="8708" max="8708" width="14.42578125" style="833" customWidth="1"/>
    <col min="8709" max="8963" width="9.140625" style="833"/>
    <col min="8964" max="8964" width="14.42578125" style="833" customWidth="1"/>
    <col min="8965" max="9219" width="9.140625" style="833"/>
    <col min="9220" max="9220" width="14.42578125" style="833" customWidth="1"/>
    <col min="9221" max="9475" width="9.140625" style="833"/>
    <col min="9476" max="9476" width="14.42578125" style="833" customWidth="1"/>
    <col min="9477" max="9731" width="9.140625" style="833"/>
    <col min="9732" max="9732" width="14.42578125" style="833" customWidth="1"/>
    <col min="9733" max="9987" width="9.140625" style="833"/>
    <col min="9988" max="9988" width="14.42578125" style="833" customWidth="1"/>
    <col min="9989" max="10243" width="9.140625" style="833"/>
    <col min="10244" max="10244" width="14.42578125" style="833" customWidth="1"/>
    <col min="10245" max="10499" width="9.140625" style="833"/>
    <col min="10500" max="10500" width="14.42578125" style="833" customWidth="1"/>
    <col min="10501" max="10755" width="9.140625" style="833"/>
    <col min="10756" max="10756" width="14.42578125" style="833" customWidth="1"/>
    <col min="10757" max="11011" width="9.140625" style="833"/>
    <col min="11012" max="11012" width="14.42578125" style="833" customWidth="1"/>
    <col min="11013" max="11267" width="9.140625" style="833"/>
    <col min="11268" max="11268" width="14.42578125" style="833" customWidth="1"/>
    <col min="11269" max="11523" width="9.140625" style="833"/>
    <col min="11524" max="11524" width="14.42578125" style="833" customWidth="1"/>
    <col min="11525" max="11779" width="9.140625" style="833"/>
    <col min="11780" max="11780" width="14.42578125" style="833" customWidth="1"/>
    <col min="11781" max="12035" width="9.140625" style="833"/>
    <col min="12036" max="12036" width="14.42578125" style="833" customWidth="1"/>
    <col min="12037" max="12291" width="9.140625" style="833"/>
    <col min="12292" max="12292" width="14.42578125" style="833" customWidth="1"/>
    <col min="12293" max="12547" width="9.140625" style="833"/>
    <col min="12548" max="12548" width="14.42578125" style="833" customWidth="1"/>
    <col min="12549" max="12803" width="9.140625" style="833"/>
    <col min="12804" max="12804" width="14.42578125" style="833" customWidth="1"/>
    <col min="12805" max="13059" width="9.140625" style="833"/>
    <col min="13060" max="13060" width="14.42578125" style="833" customWidth="1"/>
    <col min="13061" max="13315" width="9.140625" style="833"/>
    <col min="13316" max="13316" width="14.42578125" style="833" customWidth="1"/>
    <col min="13317" max="13571" width="9.140625" style="833"/>
    <col min="13572" max="13572" width="14.42578125" style="833" customWidth="1"/>
    <col min="13573" max="13827" width="9.140625" style="833"/>
    <col min="13828" max="13828" width="14.42578125" style="833" customWidth="1"/>
    <col min="13829" max="14083" width="9.140625" style="833"/>
    <col min="14084" max="14084" width="14.42578125" style="833" customWidth="1"/>
    <col min="14085" max="14339" width="9.140625" style="833"/>
    <col min="14340" max="14340" width="14.42578125" style="833" customWidth="1"/>
    <col min="14341" max="14595" width="9.140625" style="833"/>
    <col min="14596" max="14596" width="14.42578125" style="833" customWidth="1"/>
    <col min="14597" max="14851" width="9.140625" style="833"/>
    <col min="14852" max="14852" width="14.42578125" style="833" customWidth="1"/>
    <col min="14853" max="15107" width="9.140625" style="833"/>
    <col min="15108" max="15108" width="14.42578125" style="833" customWidth="1"/>
    <col min="15109" max="15363" width="9.140625" style="833"/>
    <col min="15364" max="15364" width="14.42578125" style="833" customWidth="1"/>
    <col min="15365" max="15619" width="9.140625" style="833"/>
    <col min="15620" max="15620" width="14.42578125" style="833" customWidth="1"/>
    <col min="15621" max="15875" width="9.140625" style="833"/>
    <col min="15876" max="15876" width="14.42578125" style="833" customWidth="1"/>
    <col min="15877" max="16131" width="9.140625" style="833"/>
    <col min="16132" max="16132" width="14.42578125" style="833" customWidth="1"/>
    <col min="16133" max="16384" width="9.140625" style="833"/>
  </cols>
  <sheetData>
    <row r="1" spans="1:28" ht="15.75" thickBot="1">
      <c r="A1" s="826"/>
      <c r="B1" s="827"/>
      <c r="C1" s="827"/>
      <c r="D1" s="828"/>
      <c r="E1" s="828"/>
      <c r="F1" s="828"/>
      <c r="G1" s="828"/>
      <c r="H1" s="828"/>
      <c r="I1" s="829"/>
      <c r="J1" s="829"/>
      <c r="K1" s="829"/>
      <c r="L1" s="829"/>
      <c r="M1" s="830"/>
      <c r="N1" s="829"/>
      <c r="O1" s="829"/>
      <c r="P1" s="828"/>
      <c r="Q1" s="829"/>
      <c r="R1" s="829"/>
      <c r="S1" s="829"/>
      <c r="T1" s="829"/>
      <c r="U1" s="829"/>
      <c r="V1" s="829"/>
      <c r="W1" s="829"/>
      <c r="X1" s="831" t="s">
        <v>1742</v>
      </c>
      <c r="Y1" s="829"/>
      <c r="Z1" s="832">
        <f>DATEVALUE(_xll.BDP($B12,"T_PLUS_1_SETTLE_DT"))</f>
        <v>43178</v>
      </c>
      <c r="AA1" s="832">
        <f>DATEVALUE(_xll.BDP($B12,"SETTLE_DT"))</f>
        <v>43179</v>
      </c>
      <c r="AB1" s="829"/>
    </row>
    <row r="2" spans="1:28" ht="24">
      <c r="A2" s="834"/>
      <c r="B2" s="835"/>
      <c r="C2" s="835"/>
      <c r="D2" s="836" t="s">
        <v>34</v>
      </c>
      <c r="E2" s="837" t="s">
        <v>1001</v>
      </c>
      <c r="F2" s="837" t="s">
        <v>1743</v>
      </c>
      <c r="G2" s="837" t="s">
        <v>1744</v>
      </c>
      <c r="H2" s="837" t="s">
        <v>1745</v>
      </c>
      <c r="I2" s="837" t="s">
        <v>1746</v>
      </c>
      <c r="J2" s="838" t="s">
        <v>1747</v>
      </c>
      <c r="K2" s="838"/>
      <c r="L2" s="837" t="s">
        <v>1748</v>
      </c>
      <c r="M2" s="839" t="s">
        <v>1749</v>
      </c>
      <c r="N2" s="840" t="s">
        <v>1750</v>
      </c>
      <c r="O2" s="837"/>
      <c r="P2" s="838" t="s">
        <v>1751</v>
      </c>
      <c r="Q2" s="841" t="s">
        <v>1752</v>
      </c>
      <c r="R2" s="841"/>
      <c r="S2" s="841"/>
      <c r="T2" s="841"/>
      <c r="U2" s="841"/>
      <c r="V2" s="841"/>
      <c r="W2" s="842" t="s">
        <v>1753</v>
      </c>
      <c r="X2" s="842" t="s">
        <v>1754</v>
      </c>
      <c r="Y2" s="843" t="s">
        <v>1755</v>
      </c>
      <c r="Z2" s="843" t="s">
        <v>1756</v>
      </c>
      <c r="AA2" s="841" t="s">
        <v>1757</v>
      </c>
      <c r="AB2" s="841"/>
    </row>
    <row r="3" spans="1:28" ht="15.75" thickBot="1">
      <c r="A3" s="834"/>
      <c r="B3" s="835"/>
      <c r="C3" s="835"/>
      <c r="D3" s="844"/>
      <c r="E3" s="845"/>
      <c r="F3" s="845"/>
      <c r="G3" s="845"/>
      <c r="H3" s="845"/>
      <c r="I3" s="845"/>
      <c r="J3" s="846"/>
      <c r="K3" s="846"/>
      <c r="L3" s="847"/>
      <c r="M3" s="847" t="s">
        <v>1758</v>
      </c>
      <c r="N3" s="847"/>
      <c r="O3" s="845"/>
      <c r="P3" s="846"/>
      <c r="Q3" s="841"/>
      <c r="R3" s="841"/>
      <c r="S3" s="841"/>
      <c r="T3" s="841"/>
      <c r="U3" s="841"/>
      <c r="V3" s="841"/>
      <c r="W3" s="842"/>
      <c r="X3" s="842"/>
      <c r="Y3" s="843"/>
      <c r="Z3" s="843"/>
      <c r="AA3" s="841"/>
      <c r="AB3" s="841"/>
    </row>
    <row r="4" spans="1:28">
      <c r="A4" s="848"/>
      <c r="B4" s="849"/>
      <c r="C4" s="849"/>
      <c r="D4" s="850"/>
      <c r="E4" s="851"/>
      <c r="F4" s="851"/>
      <c r="G4" s="852"/>
      <c r="H4" s="853"/>
      <c r="I4" s="854"/>
      <c r="J4" s="855"/>
      <c r="K4" s="856"/>
      <c r="L4" s="857"/>
      <c r="M4" s="858"/>
      <c r="N4" s="858"/>
      <c r="O4" s="859"/>
      <c r="P4" s="860"/>
      <c r="Q4" s="861"/>
      <c r="R4" s="861"/>
      <c r="S4" s="862"/>
      <c r="T4" s="863"/>
      <c r="U4" s="862"/>
      <c r="V4" s="863"/>
      <c r="W4" s="864"/>
      <c r="X4" s="864"/>
      <c r="Y4" s="865"/>
      <c r="Z4" s="865"/>
      <c r="AA4" s="866"/>
      <c r="AB4" s="867"/>
    </row>
    <row r="5" spans="1:28">
      <c r="A5" s="848"/>
      <c r="B5" s="849"/>
      <c r="C5" s="849"/>
      <c r="D5" s="868"/>
      <c r="E5" s="869"/>
      <c r="F5" s="869"/>
      <c r="G5" s="870"/>
      <c r="H5" s="871"/>
      <c r="I5" s="872"/>
      <c r="J5" s="873"/>
      <c r="K5" s="874"/>
      <c r="L5" s="857"/>
      <c r="M5" s="858"/>
      <c r="N5" s="875"/>
      <c r="O5" s="876"/>
      <c r="P5" s="877"/>
      <c r="Q5" s="861"/>
      <c r="R5" s="861"/>
      <c r="S5" s="878"/>
      <c r="T5" s="863"/>
      <c r="U5" s="878"/>
      <c r="V5" s="863"/>
      <c r="W5" s="864"/>
      <c r="X5" s="864"/>
      <c r="Y5" s="865"/>
      <c r="Z5" s="865"/>
      <c r="AA5" s="866"/>
      <c r="AB5" s="867"/>
    </row>
    <row r="6" spans="1:28">
      <c r="A6" s="848" t="s">
        <v>1759</v>
      </c>
      <c r="B6" s="849" t="str">
        <f t="shared" ref="B6:B13" si="0">A6&amp;" Corp"</f>
        <v>IT0004716319 Corp</v>
      </c>
      <c r="C6" s="849"/>
      <c r="D6" s="868">
        <f>DATEVALUE(_xll.BDP($B6,D$2))</f>
        <v>43205</v>
      </c>
      <c r="E6" s="869">
        <f>_xll.BDP(B6,"FLT_SPREAD")</f>
        <v>100</v>
      </c>
      <c r="F6" s="869">
        <f>_xll.BDP(B6,F$2)</f>
        <v>0.72599999999999998</v>
      </c>
      <c r="G6" s="870">
        <f>_xll.BDP($B6,G$2)</f>
        <v>100.057</v>
      </c>
      <c r="H6" s="871">
        <f t="shared" ref="H6:H13" si="1">(G6+I6)/2</f>
        <v>100.0855</v>
      </c>
      <c r="I6" s="872">
        <f>_xll.BDP($B6,I$2)</f>
        <v>100.114</v>
      </c>
      <c r="J6" s="873">
        <f>_xll.BDP(B6&amp;"@CBBT Corp",J$2)</f>
        <v>-8.3207309581520761</v>
      </c>
      <c r="K6" s="874">
        <f>_xll.BDP(B6&amp;"@CBBT Corp","ASSET_SWAP_SPD_MID")</f>
        <v>83.092463945054462</v>
      </c>
      <c r="L6" s="857" t="e">
        <f>-(H6-X6-AB6)/W6*100</f>
        <v>#REF!</v>
      </c>
      <c r="M6" s="858" t="e">
        <f>IF(_xll.MKV("EUR.CM_DEPTH.VMO_REPO."&amp;A6&amp;"_SN_Fixed", M$2)=0,"-",_xll.MKV("EUR.CM_DEPTH.VMO_REPO."&amp;A6&amp;"_SN_Fixed", M$2))</f>
        <v>#REF!</v>
      </c>
      <c r="N6" s="875" t="e">
        <f>_xll.MKV("EUR.CM_DEPTH.VMO_REPO."&amp;A6&amp;"_SN_Fixed", N$2)</f>
        <v>#REF!</v>
      </c>
      <c r="O6" s="876">
        <f t="shared" ref="O6:O15" si="2">T6+(V6-T6)*(D6-S6)/(U6-S6)</f>
        <v>30.217294090466211</v>
      </c>
      <c r="P6" s="877">
        <f t="shared" ref="P6:P11" si="3">J6-O6</f>
        <v>-38.538025048618287</v>
      </c>
      <c r="Q6" s="861">
        <f t="shared" ref="Q6:Q15" si="4">MATCH(D6,$D$24:$D$41,1)</f>
        <v>1</v>
      </c>
      <c r="R6" s="861">
        <f t="shared" ref="R6:R13" si="5">Q6+1</f>
        <v>2</v>
      </c>
      <c r="S6" s="878">
        <f t="shared" ref="S6:S15" si="6">VLOOKUP(Q6,$C$24:$J$41,2)</f>
        <v>43187</v>
      </c>
      <c r="T6" s="863">
        <f t="shared" ref="T6:T15" si="7">VLOOKUP(S6,$D$24:$J$41,7)</f>
        <v>54.302383288760396</v>
      </c>
      <c r="U6" s="878">
        <f t="shared" ref="U6:U15" si="8">VLOOKUP(R6,$C$24:$J$41,2)</f>
        <v>43235</v>
      </c>
      <c r="V6" s="863">
        <f t="shared" ref="V6:V15" si="9">VLOOKUP(U6,$D$24:$J$41,7)</f>
        <v>-9.9245212400240916</v>
      </c>
      <c r="W6" s="864" t="e">
        <f>_xll.MKV($X$1&amp;$A6, W$2)</f>
        <v>#REF!</v>
      </c>
      <c r="X6" s="864" t="e">
        <f>_xll.MKV($X$1&amp;$A6, X$2)</f>
        <v>#REF!</v>
      </c>
      <c r="Y6" s="865">
        <f>DATEVALUE(_xll.BDP($B6,Y$2))</f>
        <v>43205</v>
      </c>
      <c r="Z6" s="865">
        <f>DATEVALUE(_xll.BDP($B6,Z$2))</f>
        <v>43023</v>
      </c>
      <c r="AA6" s="866">
        <f t="shared" ref="AA6:AA12" si="10">F6/2*(Settle-Z6)/(Y6-Z6)</f>
        <v>0.31114285714285717</v>
      </c>
      <c r="AB6" s="867">
        <f t="shared" ref="AB6:AB12" si="11">F6/2/(Y6-Z6)*(Settle-$Z$1)</f>
        <v>1.9945054945054944E-3</v>
      </c>
    </row>
    <row r="7" spans="1:28">
      <c r="A7" s="848" t="s">
        <v>1760</v>
      </c>
      <c r="B7" s="849" t="str">
        <f t="shared" si="0"/>
        <v>IT0004922909 Corp</v>
      </c>
      <c r="C7" s="849"/>
      <c r="D7" s="868">
        <f>DATEVALUE(_xll.BDP($B7,D$2))</f>
        <v>43405</v>
      </c>
      <c r="E7" s="869">
        <f>_xll.BDP(B7,"FLT_SPREAD")</f>
        <v>180</v>
      </c>
      <c r="F7" s="869">
        <f>_xll.BDP(B7,F$2)</f>
        <v>1.524</v>
      </c>
      <c r="G7" s="870">
        <f>_xll.BDP($B7,G$2)</f>
        <v>101.193</v>
      </c>
      <c r="H7" s="871">
        <f t="shared" si="1"/>
        <v>101.2195</v>
      </c>
      <c r="I7" s="872">
        <f>_xll.BDP(B7,I2)</f>
        <v>101.246</v>
      </c>
      <c r="J7" s="873">
        <f>_xll.BDP(B7&amp;"@CBBT Corp",J$2)</f>
        <v>-12.15955647930533</v>
      </c>
      <c r="K7" s="874">
        <f>_xll.BDP(B7&amp;"@CBBT Corp","ASSET_SWAP_SPD_MID")</f>
        <v>59.840561210292819</v>
      </c>
      <c r="L7" s="857" t="e">
        <f>-(H7-X7-AB7)/W7*100</f>
        <v>#REF!</v>
      </c>
      <c r="M7" s="858" t="e">
        <f>IF(_xll.MKV("EUR.CM_DEPTH.VMO_REPO."&amp;A7&amp;"_SN_Fixed", M$2)=0,"-",_xll.MKV("EUR.CM_DEPTH.VMO_REPO."&amp;A7&amp;"_SN_Fixed", M$2))</f>
        <v>#REF!</v>
      </c>
      <c r="N7" s="875" t="e">
        <f>_xll.MKV("EUR.CM_DEPTH.VMO_REPO."&amp;A7&amp;"_SN_Fixed", N$2)</f>
        <v>#REF!</v>
      </c>
      <c r="O7" s="876">
        <f t="shared" si="2"/>
        <v>-18.942697193162996</v>
      </c>
      <c r="P7" s="877">
        <f t="shared" si="3"/>
        <v>6.7831407138576658</v>
      </c>
      <c r="Q7" s="861">
        <f t="shared" si="4"/>
        <v>3</v>
      </c>
      <c r="R7" s="861">
        <f t="shared" si="5"/>
        <v>4</v>
      </c>
      <c r="S7" s="878">
        <f t="shared" si="6"/>
        <v>43313</v>
      </c>
      <c r="T7" s="863">
        <f t="shared" si="7"/>
        <v>-13.724824174972197</v>
      </c>
      <c r="U7" s="878">
        <f t="shared" si="8"/>
        <v>43435</v>
      </c>
      <c r="V7" s="863">
        <f t="shared" si="9"/>
        <v>-20.644177525181735</v>
      </c>
      <c r="W7" s="864" t="e">
        <f>_xll.MKV($X$1&amp;$A7, W$2)</f>
        <v>#REF!</v>
      </c>
      <c r="X7" s="864" t="e">
        <f>_xll.MKV($X$1&amp;$A7, X$2)</f>
        <v>#REF!</v>
      </c>
      <c r="Y7" s="865">
        <f>DATEVALUE(_xll.BDP($B7,Y$2))</f>
        <v>43221</v>
      </c>
      <c r="Z7" s="865">
        <f>DATEVALUE(_xll.BDP($B7,Z$2))</f>
        <v>43040</v>
      </c>
      <c r="AA7" s="866">
        <f t="shared" si="10"/>
        <v>0.58518232044198903</v>
      </c>
      <c r="AB7" s="867">
        <f t="shared" si="11"/>
        <v>4.2099447513812152E-3</v>
      </c>
    </row>
    <row r="8" spans="1:28">
      <c r="A8" s="848" t="s">
        <v>1761</v>
      </c>
      <c r="B8" s="849" t="str">
        <f t="shared" si="0"/>
        <v>IT0005009839 Corp</v>
      </c>
      <c r="C8" s="849"/>
      <c r="D8" s="868">
        <f>DATEVALUE(_xll.BDP($B8,D$2))</f>
        <v>43784</v>
      </c>
      <c r="E8" s="869">
        <f>_xll.BDP(B8,"FLT_SPREAD")</f>
        <v>120</v>
      </c>
      <c r="F8" s="869">
        <f>_xll.BDP(B8,F$2)</f>
        <v>0.92500000000000004</v>
      </c>
      <c r="G8" s="870">
        <f>_xll.BDP($B8,G$2)</f>
        <v>102.006</v>
      </c>
      <c r="H8" s="871">
        <f t="shared" si="1"/>
        <v>102.0455</v>
      </c>
      <c r="I8" s="872">
        <f>_xll.BDP($B8,I$2)</f>
        <v>102.08499999999999</v>
      </c>
      <c r="J8" s="873">
        <f>_xll.BDP(B8&amp;"@CBBT Corp",J$2)</f>
        <v>-0.75894566838012145</v>
      </c>
      <c r="K8" s="874">
        <f>_xll.BDP(B8&amp;"@CBBT Corp","ASSET_SWAP_SPD_MID")</f>
        <v>19.32269587186244</v>
      </c>
      <c r="L8" s="857" t="e">
        <f t="shared" ref="L8:L13" si="12">-(H8-X8-AB8)/W8*100</f>
        <v>#REF!</v>
      </c>
      <c r="M8" s="858" t="e">
        <f>IF(_xll.MKV("EUR.CM_DEPTH.VMO_REPO."&amp;A8&amp;"_SN_Fixed", M$2)=0,"-",_xll.MKV("EUR.CM_DEPTH.VMO_REPO."&amp;A8&amp;"_SN_Fixed", M$2))</f>
        <v>#REF!</v>
      </c>
      <c r="N8" s="875" t="e">
        <f>_xll.MKV("EUR.CM_DEPTH.VMO_REPO."&amp;A8&amp;"_SN_Fixed", N$2)</f>
        <v>#REF!</v>
      </c>
      <c r="O8" s="876">
        <f t="shared" si="2"/>
        <v>-3.6077513764152132</v>
      </c>
      <c r="P8" s="877">
        <f t="shared" si="3"/>
        <v>2.8488057080350915</v>
      </c>
      <c r="Q8" s="861">
        <f t="shared" si="4"/>
        <v>5</v>
      </c>
      <c r="R8" s="861">
        <f t="shared" si="5"/>
        <v>6</v>
      </c>
      <c r="S8" s="878">
        <f t="shared" si="6"/>
        <v>43709</v>
      </c>
      <c r="T8" s="863">
        <f t="shared" si="7"/>
        <v>-7.8596748545901294</v>
      </c>
      <c r="U8" s="878">
        <f t="shared" si="8"/>
        <v>43800</v>
      </c>
      <c r="V8" s="863">
        <f t="shared" si="9"/>
        <v>-2.7006743677378973</v>
      </c>
      <c r="W8" s="864" t="e">
        <f>_xll.MKV($X$1&amp;$A8, W$2)</f>
        <v>#REF!</v>
      </c>
      <c r="X8" s="864" t="e">
        <f>_xll.MKV($X$1&amp;$A8, X$2)</f>
        <v>#REF!</v>
      </c>
      <c r="Y8" s="865">
        <f>DATEVALUE(_xll.BDP($B8,Y$2))</f>
        <v>43235</v>
      </c>
      <c r="Z8" s="865">
        <f>DATEVALUE(_xll.BDP($B8,Z$2))</f>
        <v>43054</v>
      </c>
      <c r="AA8" s="866">
        <f t="shared" si="10"/>
        <v>0.31940607734806631</v>
      </c>
      <c r="AB8" s="867">
        <f t="shared" si="11"/>
        <v>2.5552486187845305E-3</v>
      </c>
    </row>
    <row r="9" spans="1:28">
      <c r="A9" s="848" t="s">
        <v>1762</v>
      </c>
      <c r="B9" s="849" t="str">
        <f t="shared" si="0"/>
        <v>IT0005056541 Corp</v>
      </c>
      <c r="C9" s="849"/>
      <c r="D9" s="868">
        <f>DATEVALUE(_xll.BDP($B9,D$2))</f>
        <v>44180</v>
      </c>
      <c r="E9" s="869">
        <f>_xll.BDP(B9,"FLT_SPREAD")</f>
        <v>80</v>
      </c>
      <c r="F9" s="869">
        <f>_xll.BDP(B9,F$2)</f>
        <v>0.52700000000000002</v>
      </c>
      <c r="G9" s="870">
        <f>_xll.BDP($B9,G$2)</f>
        <v>101.873</v>
      </c>
      <c r="H9" s="871">
        <f t="shared" si="1"/>
        <v>101.9195</v>
      </c>
      <c r="I9" s="872">
        <f>_xll.BDP($B9,I$2)</f>
        <v>101.96599999999999</v>
      </c>
      <c r="J9" s="873">
        <f>_xll.BDP(B9&amp;"@CBBT Corp",J$2)</f>
        <v>11.54071521034575</v>
      </c>
      <c r="K9" s="874">
        <f>_xll.BDP(B9&amp;"@CBBT Corp","ASSET_SWAP_SPD_MID")</f>
        <v>17.064947462657248</v>
      </c>
      <c r="L9" s="857" t="e">
        <f t="shared" si="12"/>
        <v>#REF!</v>
      </c>
      <c r="M9" s="858" t="e">
        <f>IF(_xll.MKV("EUR.CM_DEPTH.VMO_REPO."&amp;A9&amp;"_SN_Fixed", M$2)=0,"-",_xll.MKV("EUR.CM_DEPTH.VMO_REPO."&amp;A9&amp;"_SN_Fixed", M$2))</f>
        <v>#REF!</v>
      </c>
      <c r="N9" s="875" t="e">
        <f>_xll.MKV("EUR.CM_DEPTH.VMO_REPO."&amp;A9&amp;"_SN_Fixed", N$2)</f>
        <v>#REF!</v>
      </c>
      <c r="O9" s="876">
        <f t="shared" si="2"/>
        <v>10.217341557612139</v>
      </c>
      <c r="P9" s="877">
        <f t="shared" si="3"/>
        <v>1.3233736527336113</v>
      </c>
      <c r="Q9" s="861">
        <f t="shared" si="4"/>
        <v>7</v>
      </c>
      <c r="R9" s="861">
        <f t="shared" si="5"/>
        <v>8</v>
      </c>
      <c r="S9" s="878">
        <f t="shared" si="6"/>
        <v>44075</v>
      </c>
      <c r="T9" s="863">
        <f t="shared" si="7"/>
        <v>7.2470985704054716</v>
      </c>
      <c r="U9" s="878">
        <f t="shared" si="8"/>
        <v>44256</v>
      </c>
      <c r="V9" s="863">
        <f t="shared" si="9"/>
        <v>12.367231719780774</v>
      </c>
      <c r="W9" s="864" t="e">
        <f>_xll.MKV($X$1&amp;$A9, W$2)</f>
        <v>#REF!</v>
      </c>
      <c r="X9" s="864" t="e">
        <f>_xll.MKV($X$1&amp;$A9, X$2)</f>
        <v>#REF!</v>
      </c>
      <c r="Y9" s="865">
        <f>DATEVALUE(_xll.BDP($B9,Y$2))</f>
        <v>43266</v>
      </c>
      <c r="Z9" s="865">
        <f>DATEVALUE(_xll.BDP($B9,Z$2))</f>
        <v>43084</v>
      </c>
      <c r="AA9" s="866">
        <f t="shared" si="10"/>
        <v>0.13754120879120879</v>
      </c>
      <c r="AB9" s="867">
        <f t="shared" si="11"/>
        <v>1.4478021978021978E-3</v>
      </c>
    </row>
    <row r="10" spans="1:28">
      <c r="A10" s="848" t="s">
        <v>1763</v>
      </c>
      <c r="B10" s="849" t="str">
        <f t="shared" si="0"/>
        <v>IT0005104473 Corp</v>
      </c>
      <c r="C10" s="849"/>
      <c r="D10" s="868">
        <f>DATEVALUE(_xll.BDP($B10,D$2))</f>
        <v>44727</v>
      </c>
      <c r="E10" s="869">
        <f>_xll.BDP(B10,"FLT_SPREAD")</f>
        <v>55</v>
      </c>
      <c r="F10" s="869">
        <f>_xll.BDP(B10,F$2)</f>
        <v>0.27700000000000002</v>
      </c>
      <c r="G10" s="870">
        <f>_xll.BDP($B10,G$2)</f>
        <v>100.938</v>
      </c>
      <c r="H10" s="871">
        <f t="shared" si="1"/>
        <v>100.9915</v>
      </c>
      <c r="I10" s="872">
        <f>_xll.BDP($B10,I$2)</f>
        <v>101.045</v>
      </c>
      <c r="J10" s="873">
        <f>_xll.BDP(B10&amp;"@CBBT Corp",J$2)</f>
        <v>32.104798416555134</v>
      </c>
      <c r="K10" s="874">
        <f>_xll.BDP(B10&amp;"@CBBT Corp","ASSET_SWAP_SPD_MID")</f>
        <v>33.25002795738795</v>
      </c>
      <c r="L10" s="857" t="e">
        <f t="shared" si="12"/>
        <v>#REF!</v>
      </c>
      <c r="M10" s="858" t="e">
        <f>IF(_xll.MKV("EUR.CM_DEPTH.VMO_REPO."&amp;A10&amp;"_SN_Fixed", M$2)=0,"-",_xll.MKV("EUR.CM_DEPTH.VMO_REPO."&amp;A10&amp;"_SN_Fixed", M$2))</f>
        <v>#REF!</v>
      </c>
      <c r="N10" s="875" t="e">
        <f>_xll.MKV("EUR.CM_DEPTH.VMO_REPO."&amp;A10&amp;"_SN_Fixed", N$2)</f>
        <v>#REF!</v>
      </c>
      <c r="O10" s="876">
        <f t="shared" si="2"/>
        <v>34.301628287875815</v>
      </c>
      <c r="P10" s="877">
        <f t="shared" si="3"/>
        <v>-2.1968298713206806</v>
      </c>
      <c r="Q10" s="861">
        <f t="shared" si="4"/>
        <v>9</v>
      </c>
      <c r="R10" s="861">
        <f t="shared" si="5"/>
        <v>10</v>
      </c>
      <c r="S10" s="878">
        <f t="shared" si="6"/>
        <v>44621</v>
      </c>
      <c r="T10" s="863">
        <f t="shared" si="7"/>
        <v>29.983875084389872</v>
      </c>
      <c r="U10" s="878">
        <f t="shared" si="8"/>
        <v>44805</v>
      </c>
      <c r="V10" s="863">
        <f t="shared" si="9"/>
        <v>37.478842909308867</v>
      </c>
      <c r="W10" s="864" t="e">
        <f>_xll.MKV($X$1&amp;$A10, W$2)</f>
        <v>#REF!</v>
      </c>
      <c r="X10" s="864" t="e">
        <f>_xll.MKV($X$1&amp;$A10, X$2)</f>
        <v>#REF!</v>
      </c>
      <c r="Y10" s="865">
        <f>DATEVALUE(_xll.BDP($B10,Y$2))</f>
        <v>43266</v>
      </c>
      <c r="Z10" s="865">
        <f>DATEVALUE(_xll.BDP($B10,Z$2))</f>
        <v>43084</v>
      </c>
      <c r="AA10" s="866">
        <f t="shared" si="10"/>
        <v>7.2293956043956054E-2</v>
      </c>
      <c r="AB10" s="867">
        <f t="shared" si="11"/>
        <v>7.6098901098901103E-4</v>
      </c>
    </row>
    <row r="11" spans="1:28">
      <c r="A11" s="848" t="s">
        <v>1764</v>
      </c>
      <c r="B11" s="849" t="str">
        <f t="shared" si="0"/>
        <v>IT0005137614 Corp</v>
      </c>
      <c r="C11" s="849"/>
      <c r="D11" s="868">
        <f>DATEVALUE(_xll.BDP($B11,D$2))</f>
        <v>44910</v>
      </c>
      <c r="E11" s="869">
        <f>_xll.BDP(B11,"FLT_SPREAD")</f>
        <v>70</v>
      </c>
      <c r="F11" s="869">
        <f>_xll.BDP(B11,F$2)</f>
        <v>0.42699999999999999</v>
      </c>
      <c r="G11" s="870">
        <f>_xll.BDP($B11,G$2)</f>
        <v>101.53100000000001</v>
      </c>
      <c r="H11" s="871">
        <f t="shared" si="1"/>
        <v>101.58450000000001</v>
      </c>
      <c r="I11" s="872">
        <f>_xll.BDP($B11,I$2)</f>
        <v>101.63800000000001</v>
      </c>
      <c r="J11" s="873">
        <f>_xll.BDP(B11&amp;"@CBBT Corp",J$2)</f>
        <v>36.95648653248643</v>
      </c>
      <c r="K11" s="874">
        <f>_xll.BDP(B11&amp;"@CBBT Corp","ASSET_SWAP_SPD_MID")</f>
        <v>38.674553833655082</v>
      </c>
      <c r="L11" s="857" t="e">
        <f t="shared" si="12"/>
        <v>#REF!</v>
      </c>
      <c r="M11" s="858" t="e">
        <f>IF(_xll.MKV("EUR.CM_DEPTH.VMO_REPO."&amp;A11&amp;"_SN_Fixed", M$2)=0,"-",_xll.MKV("EUR.CM_DEPTH.VMO_REPO."&amp;A11&amp;"_SN_Fixed", M$2))</f>
        <v>#REF!</v>
      </c>
      <c r="N11" s="875" t="e">
        <f>_xll.MKV("EUR.CM_DEPTH.VMO_REPO."&amp;A11&amp;"_SN_Fixed", N$2)</f>
        <v>#REF!</v>
      </c>
      <c r="O11" s="876">
        <f t="shared" si="2"/>
        <v>43.682106997617922</v>
      </c>
      <c r="P11" s="877">
        <f t="shared" si="3"/>
        <v>-6.7256204651314917</v>
      </c>
      <c r="Q11" s="861">
        <f t="shared" si="4"/>
        <v>11</v>
      </c>
      <c r="R11" s="861">
        <f t="shared" si="5"/>
        <v>12</v>
      </c>
      <c r="S11" s="878">
        <f t="shared" si="6"/>
        <v>44866</v>
      </c>
      <c r="T11" s="863">
        <f t="shared" si="7"/>
        <v>42.195114344211774</v>
      </c>
      <c r="U11" s="878">
        <f t="shared" si="8"/>
        <v>45047</v>
      </c>
      <c r="V11" s="863">
        <f t="shared" si="9"/>
        <v>48.312061395723418</v>
      </c>
      <c r="W11" s="864" t="e">
        <f>_xll.MKV($X$1&amp;$A11, W$2)</f>
        <v>#REF!</v>
      </c>
      <c r="X11" s="864" t="e">
        <f>_xll.MKV($X$1&amp;$A11, X$2)</f>
        <v>#REF!</v>
      </c>
      <c r="Y11" s="865">
        <f>DATEVALUE(_xll.BDP($B11,Y$2))</f>
        <v>43266</v>
      </c>
      <c r="Z11" s="865">
        <f>DATEVALUE(_xll.BDP($B11,Z$2))</f>
        <v>43084</v>
      </c>
      <c r="AA11" s="866">
        <f t="shared" si="10"/>
        <v>0.11144230769230769</v>
      </c>
      <c r="AB11" s="867">
        <f t="shared" si="11"/>
        <v>1.173076923076923E-3</v>
      </c>
    </row>
    <row r="12" spans="1:28">
      <c r="A12" s="848" t="s">
        <v>1765</v>
      </c>
      <c r="B12" s="849" t="str">
        <f t="shared" si="0"/>
        <v>IT0005185456 Corp</v>
      </c>
      <c r="C12" s="849"/>
      <c r="D12" s="868">
        <f>DATEVALUE(_xll.BDP($B12,D$2))</f>
        <v>45122</v>
      </c>
      <c r="E12" s="869">
        <f>_xll.BDP(B12,"FLT_SPREAD")</f>
        <v>70</v>
      </c>
      <c r="F12" s="869">
        <f>_xll.BDP(B12,F$2)</f>
        <v>0.42899999999999999</v>
      </c>
      <c r="G12" s="870">
        <f>_xll.BDP($B12,G$2)</f>
        <v>101.196</v>
      </c>
      <c r="H12" s="871">
        <f t="shared" si="1"/>
        <v>101.259</v>
      </c>
      <c r="I12" s="872">
        <f>_xll.BDP($B12,I$2)</f>
        <v>101.322</v>
      </c>
      <c r="J12" s="873">
        <f>_xll.BDP(B12&amp;"@CBBT Corp",J$2)</f>
        <v>46.519081036966746</v>
      </c>
      <c r="K12" s="874">
        <f>_xll.BDP(B12&amp;"@CBBT Corp","ASSET_SWAP_SPD_MID")</f>
        <v>47.302646339168852</v>
      </c>
      <c r="L12" s="857" t="e">
        <f t="shared" si="12"/>
        <v>#REF!</v>
      </c>
      <c r="M12" s="858" t="e">
        <f>IF(_xll.MKV("EUR.CM_DEPTH.VMO_REPO."&amp;A12&amp;"_SN_Fixed", M$2)=0,"-",_xll.MKV("EUR.CM_DEPTH.VMO_REPO."&amp;A12&amp;"_SN_Fixed", M$2))</f>
        <v>#REF!</v>
      </c>
      <c r="N12" s="875" t="e">
        <f>_xll.MKV("EUR.CM_DEPTH.VMO_REPO."&amp;A12&amp;"_SN_Fixed", N$2)</f>
        <v>#REF!</v>
      </c>
      <c r="O12" s="876">
        <f t="shared" si="2"/>
        <v>49.696241595115268</v>
      </c>
      <c r="P12" s="877">
        <f>J12-O12</f>
        <v>-3.1771605581485218</v>
      </c>
      <c r="Q12" s="861">
        <f t="shared" si="4"/>
        <v>12</v>
      </c>
      <c r="R12" s="861">
        <f t="shared" si="5"/>
        <v>13</v>
      </c>
      <c r="S12" s="878">
        <f t="shared" si="6"/>
        <v>45047</v>
      </c>
      <c r="T12" s="863">
        <f t="shared" si="7"/>
        <v>48.312061395723418</v>
      </c>
      <c r="U12" s="878">
        <f t="shared" si="8"/>
        <v>45214</v>
      </c>
      <c r="V12" s="863">
        <f t="shared" si="9"/>
        <v>51.394169306369264</v>
      </c>
      <c r="W12" s="864" t="e">
        <f>_xll.MKV($X$1&amp;$A12, W$2)</f>
        <v>#REF!</v>
      </c>
      <c r="X12" s="864" t="e">
        <f>_xll.MKV($X$1&amp;$A12, X$2)</f>
        <v>#REF!</v>
      </c>
      <c r="Y12" s="865">
        <f>DATEVALUE(_xll.BDP($B12,Y$2))</f>
        <v>43296</v>
      </c>
      <c r="Z12" s="865">
        <f>DATEVALUE(_xll.BDP($B12,Z$2))</f>
        <v>43115</v>
      </c>
      <c r="AA12" s="866">
        <f t="shared" si="10"/>
        <v>7.5845303867403319E-2</v>
      </c>
      <c r="AB12" s="867">
        <f t="shared" si="11"/>
        <v>1.1850828729281769E-3</v>
      </c>
    </row>
    <row r="13" spans="1:28">
      <c r="A13" s="848" t="s">
        <v>1766</v>
      </c>
      <c r="B13" s="849" t="str">
        <f t="shared" si="0"/>
        <v>IT0005218968 Corp</v>
      </c>
      <c r="C13" s="849"/>
      <c r="D13" s="868">
        <f>DATEVALUE(_xll.BDP($B13,D$2))</f>
        <v>45337</v>
      </c>
      <c r="E13" s="869">
        <f>_xll.BDP(B13,"FLT_SPREAD")</f>
        <v>75</v>
      </c>
      <c r="F13" s="869">
        <f>_xll.BDP(B13,F$2)</f>
        <v>0.47400000000000003</v>
      </c>
      <c r="G13" s="870">
        <f>_xll.BDP($B13,G$2)</f>
        <v>101.19199999999999</v>
      </c>
      <c r="H13" s="871">
        <f t="shared" si="1"/>
        <v>101.25399999999999</v>
      </c>
      <c r="I13" s="872">
        <f>_xll.BDP($B13,I$2)</f>
        <v>101.316</v>
      </c>
      <c r="J13" s="873">
        <f>_xll.BDP(B13&amp;"@CBBT Corp",J$2)</f>
        <v>53.731872950284867</v>
      </c>
      <c r="K13" s="874">
        <f>_xll.BDP(B13&amp;"@CBBT Corp","ASSET_SWAP_SPD_MID")</f>
        <v>54.235872479464824</v>
      </c>
      <c r="L13" s="857" t="e">
        <f t="shared" si="12"/>
        <v>#REF!</v>
      </c>
      <c r="M13" s="858" t="e">
        <f>IF(_xll.MKV("EUR.CM_DEPTH.VMO_REPO."&amp;A13&amp;"_SN_Fixed", M$2)=0,"-",_xll.MKV("EUR.CM_DEPTH.VMO_REPO."&amp;A13&amp;"_SN_Fixed", M$2))</f>
        <v>#REF!</v>
      </c>
      <c r="N13" s="875" t="e">
        <f>_xll.MKV("EUR.CM_DEPTH.VMO_REPO."&amp;A13&amp;"_SN_Fixed", N$2)</f>
        <v>#REF!</v>
      </c>
      <c r="O13" s="876">
        <f t="shared" si="2"/>
        <v>62.012182548110644</v>
      </c>
      <c r="P13" s="877">
        <f>J13-O13</f>
        <v>-8.2803095978257772</v>
      </c>
      <c r="Q13" s="861">
        <f t="shared" si="4"/>
        <v>13</v>
      </c>
      <c r="R13" s="861">
        <f t="shared" si="5"/>
        <v>14</v>
      </c>
      <c r="S13" s="878">
        <f t="shared" si="6"/>
        <v>45214</v>
      </c>
      <c r="T13" s="863">
        <f t="shared" si="7"/>
        <v>51.394169306369264</v>
      </c>
      <c r="U13" s="878">
        <f t="shared" si="8"/>
        <v>45352</v>
      </c>
      <c r="V13" s="863">
        <f t="shared" si="9"/>
        <v>63.307062211737644</v>
      </c>
      <c r="W13" s="864" t="e">
        <f>_xll.MKV($X$1&amp;$A13, W$2)</f>
        <v>#REF!</v>
      </c>
      <c r="X13" s="864" t="e">
        <f>_xll.MKV($X$1&amp;$A13, X$2)</f>
        <v>#REF!</v>
      </c>
      <c r="Y13" s="865">
        <f>DATEVALUE(_xll.BDP($B13,Y$2))</f>
        <v>43327</v>
      </c>
      <c r="Z13" s="865">
        <f>DATEVALUE(_xll.BDP($B13,Z$2))</f>
        <v>43146</v>
      </c>
      <c r="AA13" s="866">
        <f>F13/2*(Settle-Z13)/(Y13-Z13)</f>
        <v>4.3209944751381221E-2</v>
      </c>
      <c r="AB13" s="867">
        <f>F13/2/(Y13-Z13)*(Settle-$Z$1)</f>
        <v>1.3093922651933702E-3</v>
      </c>
    </row>
    <row r="14" spans="1:28">
      <c r="A14" s="848" t="s">
        <v>1767</v>
      </c>
      <c r="B14" s="849" t="str">
        <f>A14&amp;" Corp"</f>
        <v>IT0005252520 Corp</v>
      </c>
      <c r="C14" s="849"/>
      <c r="D14" s="868">
        <f>DATEVALUE(_xll.BDP($B14,D$2))</f>
        <v>45580</v>
      </c>
      <c r="E14" s="869">
        <f>_xll.BDP(B14,"FLT_SPREAD")</f>
        <v>110</v>
      </c>
      <c r="F14" s="869">
        <f>_xll.BDP(B14,F$2)</f>
        <v>0.82599999999999996</v>
      </c>
      <c r="G14" s="870">
        <f>_xll.BDP($B14,G$2)</f>
        <v>102.979</v>
      </c>
      <c r="H14" s="871">
        <f>(G14+I14)/2</f>
        <v>103.0295</v>
      </c>
      <c r="I14" s="872">
        <f>_xll.BDP($B14,I$2)</f>
        <v>103.08</v>
      </c>
      <c r="J14" s="873">
        <f>_xll.BDP(B14&amp;"@CBBT Corp",J$2)</f>
        <v>63.190740028076128</v>
      </c>
      <c r="K14" s="874">
        <f>_xll.BDP(B14&amp;"@CBBT Corp","ASSET_SWAP_SPD_MID")</f>
        <v>66.898744577716187</v>
      </c>
      <c r="L14" s="857" t="e">
        <f>-(H14-X14-AB14)/W14*100</f>
        <v>#REF!</v>
      </c>
      <c r="M14" s="858" t="e">
        <f>IF(_xll.MKV("EUR.CM_DEPTH.VMO_REPO."&amp;A14&amp;"_SN_Fixed", M$2)=0,"-",_xll.MKV("EUR.CM_DEPTH.VMO_REPO."&amp;A14&amp;"_SN_Fixed", M$2))</f>
        <v>#REF!</v>
      </c>
      <c r="N14" s="875" t="e">
        <f>_xll.MKV("EUR.CM_DEPTH.VMO_REPO."&amp;A14&amp;"_SN_Fixed", N$2)</f>
        <v>#REF!</v>
      </c>
      <c r="O14" s="876">
        <f t="shared" si="2"/>
        <v>70.882080973172904</v>
      </c>
      <c r="P14" s="877">
        <f>J14-O14</f>
        <v>-7.6913409450967762</v>
      </c>
      <c r="Q14" s="861">
        <f t="shared" si="4"/>
        <v>15</v>
      </c>
      <c r="R14" s="861">
        <f>Q14+1</f>
        <v>16</v>
      </c>
      <c r="S14" s="878">
        <f t="shared" si="6"/>
        <v>45536</v>
      </c>
      <c r="T14" s="863">
        <f t="shared" si="7"/>
        <v>69.168598679945774</v>
      </c>
      <c r="U14" s="878">
        <f t="shared" si="8"/>
        <v>45627</v>
      </c>
      <c r="V14" s="863">
        <f t="shared" si="9"/>
        <v>72.712391604574606</v>
      </c>
      <c r="W14" s="864" t="e">
        <f>_xll.MKV($X$1&amp;$A14, W$2)</f>
        <v>#REF!</v>
      </c>
      <c r="X14" s="864" t="e">
        <f>_xll.MKV($X$1&amp;$A14, X$2)</f>
        <v>#REF!</v>
      </c>
      <c r="Y14" s="865">
        <f>DATEVALUE(_xll.BDP($B14,Y$2))</f>
        <v>43205</v>
      </c>
      <c r="Z14" s="865">
        <f>DATEVALUE(_xll.BDP($B14,Z$2))</f>
        <v>43023</v>
      </c>
      <c r="AA14" s="866">
        <f>F14/2*(Settle-Z14)/(Y14-Z14)</f>
        <v>0.35399999999999998</v>
      </c>
      <c r="AB14" s="867">
        <f>F14/2/(Y14-Z14)*(Settle-$Z$1)</f>
        <v>2.269230769230769E-3</v>
      </c>
    </row>
    <row r="15" spans="1:28" ht="15.75" thickBot="1">
      <c r="A15" s="848" t="s">
        <v>1768</v>
      </c>
      <c r="B15" s="849" t="str">
        <f>A15&amp;" Corp"</f>
        <v>IT0005311508 Corp</v>
      </c>
      <c r="C15" s="849"/>
      <c r="D15" s="879">
        <f>DATEVALUE(_xll.BDP($B15,D$2))</f>
        <v>45762</v>
      </c>
      <c r="E15" s="880">
        <f>_xll.BDP(B15,"FLT_SPREAD")</f>
        <v>95</v>
      </c>
      <c r="F15" s="880">
        <f>_xll.BDP(B15,F$2)</f>
        <v>0.67600000000000005</v>
      </c>
      <c r="G15" s="881">
        <f>_xll.BDP($B15,G$2)</f>
        <v>101.696</v>
      </c>
      <c r="H15" s="882">
        <f>(G15+I15)/2</f>
        <v>101.74600000000001</v>
      </c>
      <c r="I15" s="883">
        <f>_xll.BDP($B15,I$2)</f>
        <v>101.79600000000001</v>
      </c>
      <c r="J15" s="884">
        <f>_xll.BDP(B15&amp;"@CBBT Corp",J$2)</f>
        <v>69.83933556069978</v>
      </c>
      <c r="K15" s="885">
        <f>_xll.BDP(B15&amp;"@CBBT Corp","ASSET_SWAP_SPD_MID")</f>
        <v>71.770099584473883</v>
      </c>
      <c r="L15" s="886" t="e">
        <f>-(H15-X15-AB15)/W15*100</f>
        <v>#REF!</v>
      </c>
      <c r="M15" s="887" t="e">
        <f>IF(_xll.MKV("EUR.CM_DEPTH.VMO_REPO."&amp;A15&amp;"_SN_Fixed", M$2)=0,"-",_xll.MKV("EUR.CM_DEPTH.VMO_REPO."&amp;A15&amp;"_SN_Fixed", M$2))</f>
        <v>#REF!</v>
      </c>
      <c r="N15" s="888" t="e">
        <f>_xll.MKV("EUR.CM_DEPTH.VMO_REPO."&amp;A15&amp;"_SN_Fixed", N$2)</f>
        <v>#REF!</v>
      </c>
      <c r="O15" s="889">
        <f t="shared" si="2"/>
        <v>76.393439372661504</v>
      </c>
      <c r="P15" s="890">
        <f>J15-O15</f>
        <v>-6.5541038119617241</v>
      </c>
      <c r="Q15" s="861">
        <f t="shared" si="4"/>
        <v>17</v>
      </c>
      <c r="R15" s="861">
        <f>Q15+1</f>
        <v>18</v>
      </c>
      <c r="S15" s="878">
        <f t="shared" si="6"/>
        <v>45717</v>
      </c>
      <c r="T15" s="863">
        <f t="shared" si="7"/>
        <v>75.115069773978604</v>
      </c>
      <c r="U15" s="878">
        <f t="shared" si="8"/>
        <v>45809</v>
      </c>
      <c r="V15" s="863">
        <f t="shared" si="9"/>
        <v>77.728625397952527</v>
      </c>
      <c r="W15" s="864" t="e">
        <f>_xll.MKV($X$1&amp;$A15, W$2)</f>
        <v>#REF!</v>
      </c>
      <c r="X15" s="864" t="e">
        <f>_xll.MKV($X$1&amp;$A15, X$2)</f>
        <v>#REF!</v>
      </c>
      <c r="Y15" s="865">
        <f>DATEVALUE(_xll.BDP($B15,Y$2))</f>
        <v>43205</v>
      </c>
      <c r="Z15" s="865">
        <f>DATEVALUE(_xll.BDP($B15,Z$2))</f>
        <v>43023</v>
      </c>
      <c r="AA15" s="866">
        <f>F15/2*(Settle-Z15)/(Y15-Z15)</f>
        <v>0.2897142857142857</v>
      </c>
      <c r="AB15" s="867">
        <f>F15/2/(Y15-Z15)*(Settle-$Z$1)</f>
        <v>1.8571428571428573E-3</v>
      </c>
    </row>
    <row r="16" spans="1:28">
      <c r="A16" s="826"/>
      <c r="B16" s="827"/>
      <c r="C16" s="827"/>
      <c r="D16" s="828"/>
      <c r="E16" s="828"/>
      <c r="F16" s="828"/>
      <c r="G16" s="828"/>
      <c r="H16" s="828"/>
      <c r="I16" s="829"/>
      <c r="J16" s="828"/>
      <c r="K16" s="828"/>
      <c r="L16" s="828"/>
      <c r="M16" s="828"/>
      <c r="N16" s="828"/>
      <c r="O16" s="828"/>
      <c r="P16" s="828"/>
      <c r="Q16" s="829"/>
      <c r="R16" s="829"/>
      <c r="S16" s="829"/>
      <c r="T16" s="829"/>
      <c r="U16" s="829"/>
      <c r="V16" s="829"/>
      <c r="W16" s="829"/>
      <c r="X16" s="829"/>
      <c r="Y16" s="829"/>
      <c r="Z16" s="829"/>
      <c r="AA16" s="829"/>
      <c r="AB16" s="829"/>
    </row>
    <row r="17" spans="1:28">
      <c r="A17" s="826"/>
      <c r="B17" s="827"/>
      <c r="C17" s="827"/>
      <c r="D17" s="828"/>
      <c r="E17" s="828"/>
      <c r="F17" s="828"/>
      <c r="G17" s="828"/>
      <c r="H17" s="828"/>
      <c r="I17" s="829"/>
      <c r="J17" s="828"/>
      <c r="K17" s="828"/>
      <c r="L17" s="828"/>
      <c r="M17" s="828"/>
      <c r="N17" s="828"/>
      <c r="O17" s="828"/>
      <c r="P17" s="828"/>
      <c r="Q17" s="829"/>
      <c r="R17" s="829"/>
      <c r="S17" s="829"/>
      <c r="T17" s="829"/>
      <c r="U17" s="829"/>
      <c r="V17" s="829"/>
      <c r="W17" s="829"/>
      <c r="X17" s="829"/>
      <c r="Y17" s="829"/>
      <c r="Z17" s="829"/>
      <c r="AA17" s="829"/>
      <c r="AB17" s="829"/>
    </row>
    <row r="18" spans="1:28">
      <c r="A18" s="826"/>
      <c r="B18" s="827"/>
      <c r="C18" s="827"/>
      <c r="D18" s="828"/>
      <c r="E18" s="828"/>
      <c r="F18" s="828"/>
      <c r="G18" s="828"/>
      <c r="H18" s="828"/>
      <c r="I18" s="829"/>
      <c r="J18" s="828"/>
      <c r="K18" s="828"/>
      <c r="L18" s="828"/>
      <c r="M18" s="828"/>
      <c r="N18" s="828"/>
      <c r="O18" s="828"/>
      <c r="P18" s="828"/>
      <c r="Q18" s="829"/>
      <c r="R18" s="829"/>
      <c r="S18" s="829"/>
      <c r="T18" s="829"/>
      <c r="U18" s="829"/>
      <c r="V18" s="829"/>
      <c r="W18" s="829"/>
      <c r="X18" s="829"/>
      <c r="Y18" s="829"/>
      <c r="Z18" s="829"/>
      <c r="AA18" s="829"/>
      <c r="AB18" s="829"/>
    </row>
    <row r="19" spans="1:28">
      <c r="A19" s="848"/>
      <c r="B19" s="849"/>
      <c r="C19" s="849"/>
      <c r="D19" s="891"/>
      <c r="E19" s="869"/>
      <c r="F19" s="869"/>
      <c r="G19" s="870"/>
      <c r="H19" s="828"/>
      <c r="I19" s="870"/>
      <c r="J19" s="892"/>
      <c r="K19" s="892"/>
      <c r="L19" s="892"/>
      <c r="M19" s="892"/>
      <c r="N19" s="892"/>
      <c r="O19" s="892"/>
      <c r="P19" s="892"/>
      <c r="Q19" s="829"/>
      <c r="R19" s="829"/>
      <c r="S19" s="829"/>
      <c r="T19" s="829"/>
      <c r="U19" s="829"/>
      <c r="V19" s="829"/>
      <c r="W19" s="829"/>
      <c r="X19" s="829"/>
      <c r="Y19" s="829"/>
      <c r="Z19" s="829"/>
      <c r="AA19" s="829"/>
      <c r="AB19" s="829"/>
    </row>
    <row r="20" spans="1:28">
      <c r="A20" s="848"/>
      <c r="B20" s="849"/>
      <c r="C20" s="849"/>
      <c r="D20" s="893"/>
      <c r="E20" s="869"/>
      <c r="F20" s="869"/>
      <c r="G20" s="870"/>
      <c r="H20" s="828"/>
      <c r="I20" s="870"/>
      <c r="J20" s="892"/>
      <c r="K20" s="892"/>
      <c r="L20" s="892"/>
      <c r="M20" s="892"/>
      <c r="N20" s="892"/>
      <c r="O20" s="892"/>
      <c r="P20" s="892"/>
      <c r="Q20" s="829"/>
      <c r="R20" s="829"/>
      <c r="S20" s="829"/>
      <c r="T20" s="829"/>
      <c r="U20" s="829"/>
      <c r="V20" s="829"/>
      <c r="W20" s="829"/>
      <c r="X20" s="829"/>
      <c r="Y20" s="829"/>
      <c r="Z20" s="829"/>
      <c r="AA20" s="829"/>
      <c r="AB20" s="829"/>
    </row>
    <row r="21" spans="1:28">
      <c r="A21" s="848"/>
      <c r="B21" s="849"/>
      <c r="C21" s="849"/>
      <c r="D21" s="893"/>
      <c r="E21" s="869"/>
      <c r="F21" s="869"/>
      <c r="G21" s="870"/>
      <c r="H21" s="828"/>
      <c r="I21" s="870"/>
      <c r="J21" s="892"/>
      <c r="K21" s="892"/>
      <c r="L21" s="892"/>
      <c r="M21" s="892"/>
      <c r="N21" s="892"/>
      <c r="O21" s="892"/>
      <c r="P21" s="892"/>
      <c r="Q21" s="829"/>
      <c r="R21" s="829"/>
      <c r="S21" s="829"/>
      <c r="T21" s="829"/>
      <c r="U21" s="829"/>
      <c r="V21" s="829"/>
      <c r="W21" s="829"/>
      <c r="X21" s="829"/>
      <c r="Y21" s="829"/>
      <c r="Z21" s="829"/>
      <c r="AA21" s="829"/>
      <c r="AB21" s="829"/>
    </row>
    <row r="22" spans="1:28">
      <c r="A22" s="848"/>
      <c r="B22" s="849"/>
      <c r="C22" s="849"/>
      <c r="D22" s="893"/>
      <c r="E22" s="869"/>
      <c r="F22" s="869"/>
      <c r="G22" s="870"/>
      <c r="H22" s="828"/>
      <c r="I22" s="870"/>
      <c r="J22" s="892"/>
      <c r="K22" s="892"/>
      <c r="L22" s="892"/>
      <c r="M22" s="892"/>
      <c r="N22" s="892"/>
      <c r="O22" s="892"/>
      <c r="P22" s="892"/>
      <c r="Q22" s="829"/>
      <c r="R22" s="829"/>
      <c r="S22" s="829"/>
      <c r="T22" s="829"/>
      <c r="U22" s="829"/>
      <c r="V22" s="829"/>
      <c r="W22" s="829"/>
      <c r="X22" s="829"/>
      <c r="Y22" s="829"/>
      <c r="Z22" s="829"/>
      <c r="AA22" s="829"/>
      <c r="AB22" s="829"/>
    </row>
    <row r="23" spans="1:28">
      <c r="A23" s="848"/>
      <c r="B23" s="849"/>
      <c r="C23" s="849"/>
      <c r="D23" s="893"/>
      <c r="E23" s="869"/>
      <c r="F23" s="869"/>
      <c r="G23" s="870"/>
      <c r="H23" s="828"/>
      <c r="I23" s="870"/>
      <c r="J23" s="892"/>
      <c r="K23" s="892"/>
      <c r="L23" s="892"/>
      <c r="M23" s="892"/>
      <c r="N23" s="892"/>
      <c r="O23" s="892"/>
      <c r="P23" s="892"/>
      <c r="Q23" s="829"/>
      <c r="R23" s="829"/>
      <c r="S23" s="829"/>
      <c r="T23" s="829"/>
      <c r="U23" s="829"/>
      <c r="V23" s="829"/>
      <c r="W23" s="829"/>
      <c r="X23" s="829"/>
      <c r="Y23" s="829"/>
      <c r="Z23" s="829"/>
      <c r="AA23" s="829"/>
      <c r="AB23" s="829"/>
    </row>
    <row r="24" spans="1:28">
      <c r="A24" s="848" t="s">
        <v>822</v>
      </c>
      <c r="B24" s="849" t="str">
        <f t="shared" ref="B24:B37" si="13">A24&amp;" Corp"</f>
        <v>IT0005175366 Corp</v>
      </c>
      <c r="C24" s="849">
        <v>1</v>
      </c>
      <c r="D24" s="893">
        <f>DATEVALUE(_xll.BDP($B24,D$2))</f>
        <v>43187</v>
      </c>
      <c r="E24" s="869"/>
      <c r="F24" s="869">
        <f>_xll.BDP(B24,F$2)</f>
        <v>0</v>
      </c>
      <c r="G24" s="870">
        <f>_xll.BDP($B24,G$2)</f>
        <v>99.995999999999995</v>
      </c>
      <c r="H24" s="828">
        <f t="shared" ref="H24:H37" si="14">(G24+I24)/2</f>
        <v>99.996499999999997</v>
      </c>
      <c r="I24" s="870">
        <f>_xll.BDP($B24,I$2)</f>
        <v>99.997</v>
      </c>
      <c r="J24" s="892">
        <f>_xll.BDP(B24&amp;"@CBBT Corp",J$2)</f>
        <v>54.302383288760396</v>
      </c>
      <c r="K24" s="892"/>
      <c r="L24" s="892"/>
      <c r="M24" s="892"/>
      <c r="N24" s="892"/>
      <c r="O24" s="892"/>
      <c r="P24" s="892"/>
      <c r="Q24" s="829"/>
      <c r="R24" s="829"/>
      <c r="S24" s="829"/>
      <c r="T24" s="829"/>
      <c r="U24" s="829"/>
      <c r="V24" s="829"/>
      <c r="W24" s="829"/>
      <c r="X24" s="829"/>
      <c r="Y24" s="829"/>
      <c r="Z24" s="829"/>
      <c r="AA24" s="829"/>
      <c r="AB24" s="829"/>
    </row>
    <row r="25" spans="1:28">
      <c r="A25" s="848" t="s">
        <v>584</v>
      </c>
      <c r="B25" s="849" t="str">
        <f t="shared" si="13"/>
        <v>IT0005106049 Corp</v>
      </c>
      <c r="C25" s="849">
        <v>2</v>
      </c>
      <c r="D25" s="893">
        <f>DATEVALUE(_xll.BDP($B25,D$2))</f>
        <v>43235</v>
      </c>
      <c r="E25" s="869"/>
      <c r="F25" s="869">
        <f>_xll.BDP(B25,F$2)</f>
        <v>0.25</v>
      </c>
      <c r="G25" s="870">
        <f>_xll.BDP($B25,G$2)</f>
        <v>100.063</v>
      </c>
      <c r="H25" s="828">
        <f t="shared" si="14"/>
        <v>100.1105</v>
      </c>
      <c r="I25" s="870">
        <f>_xll.BDP($B25,I$2)</f>
        <v>100.158</v>
      </c>
      <c r="J25" s="892">
        <f>_xll.BDP(B25&amp;"@CBBT Corp",J$2)</f>
        <v>-9.9245212400240916</v>
      </c>
      <c r="K25" s="892"/>
      <c r="L25" s="892"/>
      <c r="M25" s="892"/>
      <c r="N25" s="892"/>
      <c r="O25" s="892"/>
      <c r="P25" s="892"/>
      <c r="Q25" s="829"/>
      <c r="R25" s="829"/>
      <c r="S25" s="829"/>
      <c r="T25" s="829"/>
      <c r="U25" s="829"/>
      <c r="V25" s="829"/>
      <c r="W25" s="829"/>
      <c r="X25" s="829"/>
      <c r="Y25" s="829"/>
      <c r="Z25" s="829"/>
      <c r="AA25" s="829"/>
      <c r="AB25" s="829"/>
    </row>
    <row r="26" spans="1:28">
      <c r="A26" s="848" t="s">
        <v>697</v>
      </c>
      <c r="B26" s="849" t="str">
        <f t="shared" si="13"/>
        <v>IT0004361041 Corp</v>
      </c>
      <c r="C26" s="849">
        <v>3</v>
      </c>
      <c r="D26" s="893">
        <f>DATEVALUE(_xll.BDP($B26,D$2))</f>
        <v>43313</v>
      </c>
      <c r="E26" s="869"/>
      <c r="F26" s="869">
        <f>_xll.BDP(B26,F$2)</f>
        <v>4.5</v>
      </c>
      <c r="G26" s="870">
        <f>_xll.BDP($B26,G$2)</f>
        <v>101.80500000000001</v>
      </c>
      <c r="H26" s="828">
        <f t="shared" si="14"/>
        <v>101.849</v>
      </c>
      <c r="I26" s="870">
        <f>_xll.BDP($B26,I$2)</f>
        <v>101.893</v>
      </c>
      <c r="J26" s="892">
        <f>_xll.BDP(B26&amp;"@CBBT Corp",J$2)</f>
        <v>-13.724824174972197</v>
      </c>
      <c r="K26" s="892"/>
      <c r="L26" s="892"/>
      <c r="M26" s="892"/>
      <c r="N26" s="892"/>
      <c r="O26" s="892"/>
      <c r="P26" s="892"/>
      <c r="Q26" s="829"/>
      <c r="R26" s="829"/>
      <c r="S26" s="829"/>
      <c r="T26" s="829"/>
      <c r="U26" s="829"/>
      <c r="V26" s="829"/>
      <c r="W26" s="829"/>
      <c r="X26" s="829"/>
      <c r="Y26" s="829"/>
      <c r="Z26" s="829"/>
      <c r="AA26" s="829"/>
      <c r="AB26" s="829"/>
    </row>
    <row r="27" spans="1:28">
      <c r="A27" s="848" t="s">
        <v>421</v>
      </c>
      <c r="B27" s="849" t="str">
        <f t="shared" si="13"/>
        <v>IT0004957574 Corp</v>
      </c>
      <c r="C27" s="849">
        <v>4</v>
      </c>
      <c r="D27" s="893">
        <f>DATEVALUE(_xll.BDP($B27,D$2))</f>
        <v>43435</v>
      </c>
      <c r="E27" s="869"/>
      <c r="F27" s="869">
        <f>_xll.BDP(B27,F$2)</f>
        <v>3.5</v>
      </c>
      <c r="G27" s="870">
        <f>_xll.BDP($B27,G$2)</f>
        <v>102.71599999999999</v>
      </c>
      <c r="H27" s="828">
        <f t="shared" si="14"/>
        <v>102.77449999999999</v>
      </c>
      <c r="I27" s="870">
        <f>_xll.BDP($B27,I$2)</f>
        <v>102.833</v>
      </c>
      <c r="J27" s="892">
        <f>_xll.BDP(B27&amp;"@CBBT Corp",J$2)</f>
        <v>-20.644177525181735</v>
      </c>
      <c r="K27" s="892"/>
      <c r="L27" s="892"/>
      <c r="M27" s="892"/>
      <c r="N27" s="892"/>
      <c r="O27" s="892"/>
      <c r="P27" s="892"/>
      <c r="Q27" s="829"/>
      <c r="R27" s="829"/>
      <c r="S27" s="829"/>
      <c r="T27" s="829"/>
      <c r="U27" s="829"/>
      <c r="V27" s="829"/>
      <c r="W27" s="829"/>
      <c r="X27" s="829"/>
      <c r="Y27" s="829"/>
      <c r="Z27" s="829"/>
      <c r="AA27" s="829"/>
      <c r="AB27" s="829"/>
    </row>
    <row r="28" spans="1:28">
      <c r="A28" s="848" t="s">
        <v>334</v>
      </c>
      <c r="B28" s="849" t="str">
        <f t="shared" si="13"/>
        <v>IT0004489610 Corp</v>
      </c>
      <c r="C28" s="849">
        <v>5</v>
      </c>
      <c r="D28" s="893">
        <f>DATEVALUE(_xll.BDP($B28,D$2))</f>
        <v>43709</v>
      </c>
      <c r="E28" s="869"/>
      <c r="F28" s="869">
        <f>_xll.BDP(B28,F$2)</f>
        <v>4.25</v>
      </c>
      <c r="G28" s="870">
        <f>_xll.BDP($B28,G$2)</f>
        <v>106.57899999999999</v>
      </c>
      <c r="H28" s="828">
        <f t="shared" si="14"/>
        <v>106.625</v>
      </c>
      <c r="I28" s="870">
        <f>_xll.BDP($B28,I$2)</f>
        <v>106.67100000000001</v>
      </c>
      <c r="J28" s="892">
        <f>_xll.BDP(B28&amp;"@CBBT Corp",J$2)</f>
        <v>-7.8596748545901294</v>
      </c>
      <c r="K28" s="892"/>
      <c r="L28" s="892"/>
      <c r="M28" s="892"/>
      <c r="N28" s="892"/>
      <c r="O28" s="892"/>
      <c r="P28" s="892"/>
      <c r="Q28" s="829"/>
      <c r="R28" s="829"/>
      <c r="S28" s="829"/>
      <c r="T28" s="829"/>
      <c r="U28" s="829"/>
      <c r="V28" s="829"/>
      <c r="W28" s="829"/>
      <c r="X28" s="829"/>
      <c r="Y28" s="829"/>
      <c r="Z28" s="829"/>
      <c r="AA28" s="829"/>
      <c r="AB28" s="829"/>
    </row>
    <row r="29" spans="1:28">
      <c r="A29" s="848" t="s">
        <v>587</v>
      </c>
      <c r="B29" s="849" t="str">
        <f t="shared" si="13"/>
        <v>IT0005069395 Corp</v>
      </c>
      <c r="C29" s="849">
        <v>6</v>
      </c>
      <c r="D29" s="893">
        <f>DATEVALUE(_xll.BDP($B29,D$2))</f>
        <v>43800</v>
      </c>
      <c r="E29" s="869"/>
      <c r="F29" s="869">
        <f>_xll.BDP(B29,F$2)</f>
        <v>1.05</v>
      </c>
      <c r="G29" s="870">
        <f>_xll.BDP($B29,G$2)</f>
        <v>102.14700000000001</v>
      </c>
      <c r="H29" s="828">
        <f t="shared" si="14"/>
        <v>102.1785</v>
      </c>
      <c r="I29" s="870">
        <f>_xll.BDP($B29,I$2)</f>
        <v>102.21</v>
      </c>
      <c r="J29" s="892">
        <f>_xll.BDP(B29&amp;"@CBBT Corp",J$2)</f>
        <v>-2.7006743677378973</v>
      </c>
      <c r="K29" s="892"/>
      <c r="L29" s="892"/>
      <c r="M29" s="892"/>
      <c r="N29" s="892"/>
      <c r="O29" s="892"/>
      <c r="P29" s="892"/>
      <c r="Q29" s="829"/>
      <c r="R29" s="829"/>
      <c r="S29" s="829"/>
      <c r="T29" s="829"/>
      <c r="U29" s="829"/>
      <c r="V29" s="829"/>
      <c r="W29" s="829"/>
      <c r="X29" s="829"/>
      <c r="Y29" s="829"/>
      <c r="Z29" s="829"/>
      <c r="AA29" s="829"/>
      <c r="AB29" s="829"/>
    </row>
    <row r="30" spans="1:28">
      <c r="A30" s="848" t="s">
        <v>702</v>
      </c>
      <c r="B30" s="849" t="str">
        <f t="shared" si="13"/>
        <v>IT0004594930 Corp</v>
      </c>
      <c r="C30" s="849">
        <v>7</v>
      </c>
      <c r="D30" s="893">
        <f>DATEVALUE(_xll.BDP($B30,D$2))</f>
        <v>44075</v>
      </c>
      <c r="E30" s="869"/>
      <c r="F30" s="869">
        <f>_xll.BDP(B30,F$2)</f>
        <v>4</v>
      </c>
      <c r="G30" s="870">
        <f>_xll.BDP($B30,G$2)</f>
        <v>109.768</v>
      </c>
      <c r="H30" s="828">
        <f t="shared" si="14"/>
        <v>109.79849999999999</v>
      </c>
      <c r="I30" s="870">
        <f>_xll.BDP($B30,I$2)</f>
        <v>109.82899999999999</v>
      </c>
      <c r="J30" s="892">
        <f>_xll.BDP(B30&amp;"@CBBT Corp",J$2)</f>
        <v>7.2470985704054716</v>
      </c>
      <c r="K30" s="892"/>
      <c r="L30" s="892"/>
      <c r="M30" s="892"/>
      <c r="N30" s="892"/>
      <c r="O30" s="892"/>
      <c r="P30" s="892"/>
      <c r="Q30" s="829"/>
      <c r="R30" s="829"/>
      <c r="S30" s="829"/>
      <c r="T30" s="829"/>
      <c r="U30" s="829"/>
      <c r="V30" s="829"/>
      <c r="W30" s="829"/>
      <c r="X30" s="829"/>
      <c r="Y30" s="829"/>
      <c r="Z30" s="829"/>
      <c r="AA30" s="829"/>
      <c r="AB30" s="829"/>
    </row>
    <row r="31" spans="1:28">
      <c r="A31" s="848" t="s">
        <v>703</v>
      </c>
      <c r="B31" s="849" t="str">
        <f t="shared" si="13"/>
        <v>IT0004634132 Corp</v>
      </c>
      <c r="C31" s="849">
        <v>8</v>
      </c>
      <c r="D31" s="893">
        <f>DATEVALUE(_xll.BDP($B31,D$2))</f>
        <v>44256</v>
      </c>
      <c r="E31" s="869"/>
      <c r="F31" s="869">
        <f>_xll.BDP(B31,F$2)</f>
        <v>3.75</v>
      </c>
      <c r="G31" s="870">
        <f>_xll.BDP($B31,G$2)</f>
        <v>110.58199999999999</v>
      </c>
      <c r="H31" s="828">
        <f t="shared" si="14"/>
        <v>110.614</v>
      </c>
      <c r="I31" s="870">
        <f>_xll.BDP($B31,I$2)</f>
        <v>110.646</v>
      </c>
      <c r="J31" s="892">
        <f>_xll.BDP(B31&amp;"@CBBT Corp",J$2)</f>
        <v>12.367231719780774</v>
      </c>
      <c r="K31" s="892"/>
      <c r="L31" s="892"/>
      <c r="M31" s="892"/>
      <c r="N31" s="892"/>
      <c r="O31" s="892"/>
      <c r="P31" s="892"/>
      <c r="Q31" s="829"/>
      <c r="R31" s="829"/>
      <c r="S31" s="829"/>
      <c r="T31" s="829"/>
      <c r="U31" s="829"/>
      <c r="V31" s="829"/>
      <c r="W31" s="829"/>
      <c r="X31" s="829"/>
      <c r="Y31" s="829"/>
      <c r="Z31" s="829"/>
      <c r="AA31" s="829"/>
      <c r="AB31" s="829"/>
    </row>
    <row r="32" spans="1:28">
      <c r="A32" s="848" t="s">
        <v>706</v>
      </c>
      <c r="B32" s="849" t="str">
        <f t="shared" si="13"/>
        <v>IT0004759673 Corp</v>
      </c>
      <c r="C32" s="849">
        <v>9</v>
      </c>
      <c r="D32" s="893">
        <f>DATEVALUE(_xll.BDP($B32,D$2))</f>
        <v>44621</v>
      </c>
      <c r="E32" s="869"/>
      <c r="F32" s="869">
        <f>_xll.BDP(B32,F$2)</f>
        <v>5</v>
      </c>
      <c r="G32" s="870">
        <f>_xll.BDP($B32,G$2)</f>
        <v>117.523</v>
      </c>
      <c r="H32" s="828">
        <f t="shared" si="14"/>
        <v>117.5735</v>
      </c>
      <c r="I32" s="870">
        <f>_xll.BDP($B32,I$2)</f>
        <v>117.624</v>
      </c>
      <c r="J32" s="892">
        <f>_xll.BDP(B32&amp;"@CBBT Corp",J$2)</f>
        <v>29.983875084389872</v>
      </c>
      <c r="K32" s="892"/>
      <c r="L32" s="892"/>
      <c r="M32" s="892"/>
      <c r="N32" s="892"/>
      <c r="O32" s="892"/>
      <c r="P32" s="892"/>
      <c r="Q32" s="829"/>
      <c r="R32" s="829"/>
      <c r="S32" s="829"/>
      <c r="T32" s="829"/>
      <c r="U32" s="829"/>
      <c r="V32" s="829"/>
      <c r="W32" s="829"/>
      <c r="X32" s="829"/>
      <c r="Y32" s="829"/>
      <c r="Z32" s="829"/>
      <c r="AA32" s="829"/>
      <c r="AB32" s="829"/>
    </row>
    <row r="33" spans="1:28">
      <c r="A33" s="848" t="s">
        <v>707</v>
      </c>
      <c r="B33" s="849" t="str">
        <f t="shared" si="13"/>
        <v>IT0004801541 Corp</v>
      </c>
      <c r="C33" s="849">
        <v>10</v>
      </c>
      <c r="D33" s="893">
        <f>DATEVALUE(_xll.BDP($B33,D$2))</f>
        <v>44805</v>
      </c>
      <c r="E33" s="869"/>
      <c r="F33" s="869">
        <f>_xll.BDP(B33,F$2)</f>
        <v>5.5</v>
      </c>
      <c r="G33" s="870">
        <f>_xll.BDP($B33,G$2)</f>
        <v>121.107</v>
      </c>
      <c r="H33" s="828">
        <f t="shared" si="14"/>
        <v>121.1645</v>
      </c>
      <c r="I33" s="870">
        <f>_xll.BDP($B33,I$2)</f>
        <v>121.22199999999999</v>
      </c>
      <c r="J33" s="892">
        <f>_xll.BDP(B33&amp;"@CBBT Corp",J$2)</f>
        <v>37.478842909308867</v>
      </c>
      <c r="K33" s="892"/>
      <c r="L33" s="892"/>
      <c r="M33" s="892"/>
      <c r="N33" s="892"/>
      <c r="O33" s="892"/>
      <c r="P33" s="892"/>
      <c r="Q33" s="829"/>
      <c r="R33" s="829"/>
      <c r="S33" s="829"/>
      <c r="T33" s="829"/>
      <c r="U33" s="829"/>
      <c r="V33" s="829"/>
      <c r="W33" s="829"/>
      <c r="X33" s="829"/>
      <c r="Y33" s="829"/>
      <c r="Z33" s="829"/>
      <c r="AA33" s="829"/>
      <c r="AB33" s="829"/>
    </row>
    <row r="34" spans="1:28">
      <c r="A34" s="848" t="s">
        <v>708</v>
      </c>
      <c r="B34" s="849" t="str">
        <f t="shared" si="13"/>
        <v>IT0004848831 Corp</v>
      </c>
      <c r="C34" s="849">
        <v>11</v>
      </c>
      <c r="D34" s="893">
        <f>DATEVALUE(_xll.BDP($B34,D$2))</f>
        <v>44866</v>
      </c>
      <c r="E34" s="869"/>
      <c r="F34" s="869">
        <f>_xll.BDP(B34,F$2)</f>
        <v>5.5</v>
      </c>
      <c r="G34" s="870">
        <f>_xll.BDP($B34,G$2)</f>
        <v>121.50700000000001</v>
      </c>
      <c r="H34" s="828">
        <f t="shared" si="14"/>
        <v>121.5625</v>
      </c>
      <c r="I34" s="870">
        <f>_xll.BDP($B34,I$2)</f>
        <v>121.61799999999999</v>
      </c>
      <c r="J34" s="892">
        <f>_xll.BDP(B34&amp;"@CBBT Corp",J$2)</f>
        <v>42.195114344211774</v>
      </c>
      <c r="K34" s="892"/>
      <c r="L34" s="892"/>
      <c r="M34" s="892"/>
      <c r="N34" s="892"/>
      <c r="O34" s="892"/>
      <c r="P34" s="892"/>
      <c r="Q34" s="829"/>
      <c r="R34" s="829"/>
      <c r="S34" s="829"/>
      <c r="T34" s="829"/>
      <c r="U34" s="829"/>
      <c r="V34" s="829"/>
      <c r="W34" s="829"/>
      <c r="X34" s="829"/>
      <c r="Y34" s="829"/>
      <c r="Z34" s="829"/>
      <c r="AA34" s="829"/>
      <c r="AB34" s="829"/>
    </row>
    <row r="35" spans="1:28">
      <c r="A35" s="848" t="s">
        <v>709</v>
      </c>
      <c r="B35" s="849" t="str">
        <f t="shared" si="13"/>
        <v>IT0004898034 Corp</v>
      </c>
      <c r="C35" s="849">
        <v>12</v>
      </c>
      <c r="D35" s="893">
        <f>DATEVALUE(_xll.BDP($B35,D$2))</f>
        <v>45047</v>
      </c>
      <c r="E35" s="869"/>
      <c r="F35" s="869">
        <f>_xll.BDP(B35,F$2)</f>
        <v>4.5</v>
      </c>
      <c r="G35" s="870">
        <f>_xll.BDP($B35,G$2)</f>
        <v>117.98</v>
      </c>
      <c r="H35" s="828">
        <f t="shared" si="14"/>
        <v>118.0455</v>
      </c>
      <c r="I35" s="870">
        <f>_xll.BDP($B35,I$2)</f>
        <v>118.111</v>
      </c>
      <c r="J35" s="892">
        <f>_xll.BDP(B35&amp;"@CBBT Corp",J$2)</f>
        <v>48.312061395723418</v>
      </c>
      <c r="K35" s="892"/>
      <c r="L35" s="892"/>
      <c r="M35" s="892"/>
      <c r="N35" s="892"/>
      <c r="O35" s="892"/>
      <c r="P35" s="892"/>
      <c r="Q35" s="829"/>
      <c r="R35" s="829"/>
      <c r="S35" s="829"/>
      <c r="T35" s="829"/>
      <c r="U35" s="829"/>
      <c r="V35" s="829"/>
      <c r="W35" s="829"/>
      <c r="X35" s="829"/>
      <c r="Y35" s="829"/>
      <c r="Z35" s="829"/>
      <c r="AA35" s="829"/>
      <c r="AB35" s="829"/>
    </row>
    <row r="36" spans="1:28">
      <c r="A36" s="848" t="s">
        <v>882</v>
      </c>
      <c r="B36" s="849" t="str">
        <f t="shared" si="13"/>
        <v>IT0005215246 Corp</v>
      </c>
      <c r="C36" s="849">
        <v>13</v>
      </c>
      <c r="D36" s="893">
        <f>DATEVALUE(_xll.BDP($B36,D$2))</f>
        <v>45214</v>
      </c>
      <c r="E36" s="869"/>
      <c r="F36" s="869">
        <f>_xll.BDP(B36,F$2)</f>
        <v>0.65</v>
      </c>
      <c r="G36" s="870">
        <f>_xll.BDP($B36,G$2)</f>
        <v>97.984999999999999</v>
      </c>
      <c r="H36" s="828">
        <f t="shared" si="14"/>
        <v>98.0535</v>
      </c>
      <c r="I36" s="870">
        <f>_xll.BDP($B36,I$2)</f>
        <v>98.122</v>
      </c>
      <c r="J36" s="892">
        <f>_xll.BDP(B36&amp;"@CBBT Corp",J$2)</f>
        <v>51.394169306369264</v>
      </c>
      <c r="K36" s="892"/>
      <c r="L36" s="892"/>
      <c r="M36" s="892"/>
      <c r="N36" s="892"/>
      <c r="O36" s="892"/>
      <c r="P36" s="892"/>
      <c r="Q36" s="829"/>
      <c r="R36" s="829"/>
      <c r="S36" s="829"/>
      <c r="T36" s="829"/>
      <c r="U36" s="829"/>
      <c r="V36" s="829"/>
      <c r="W36" s="829"/>
      <c r="X36" s="829"/>
      <c r="Y36" s="829"/>
      <c r="Z36" s="829"/>
      <c r="AA36" s="829"/>
      <c r="AB36" s="829"/>
    </row>
    <row r="37" spans="1:28">
      <c r="A37" s="848" t="s">
        <v>712</v>
      </c>
      <c r="B37" s="849" t="str">
        <f t="shared" si="13"/>
        <v>IT0004953417 Corp</v>
      </c>
      <c r="C37" s="849">
        <v>14</v>
      </c>
      <c r="D37" s="893">
        <f>DATEVALUE(_xll.BDP($B37,D$2))</f>
        <v>45352</v>
      </c>
      <c r="E37" s="869"/>
      <c r="F37" s="869">
        <f>_xll.BDP(B37,F$2)</f>
        <v>4.5</v>
      </c>
      <c r="G37" s="870">
        <f>_xll.BDP($B37,G$2)</f>
        <v>119.139</v>
      </c>
      <c r="H37" s="828">
        <f t="shared" si="14"/>
        <v>119.18799999999999</v>
      </c>
      <c r="I37" s="870">
        <f>_xll.BDP($B37,I$2)</f>
        <v>119.23699999999999</v>
      </c>
      <c r="J37" s="892">
        <f>_xll.BDP(B37&amp;"@CBBT Corp",J$2)</f>
        <v>63.307062211737644</v>
      </c>
      <c r="K37" s="892"/>
      <c r="L37" s="892"/>
      <c r="M37" s="892"/>
      <c r="N37" s="892"/>
      <c r="O37" s="892"/>
      <c r="P37" s="892"/>
      <c r="Q37" s="829"/>
      <c r="R37" s="829"/>
      <c r="S37" s="829"/>
      <c r="T37" s="829"/>
      <c r="U37" s="829"/>
      <c r="V37" s="829"/>
      <c r="W37" s="829"/>
      <c r="X37" s="829"/>
      <c r="Y37" s="829"/>
      <c r="Z37" s="829"/>
      <c r="AA37" s="829"/>
      <c r="AB37" s="829"/>
    </row>
    <row r="38" spans="1:28">
      <c r="A38" s="848" t="s">
        <v>423</v>
      </c>
      <c r="B38" s="849" t="str">
        <f>A38&amp;" Corp"</f>
        <v>IT0005001547 Corp</v>
      </c>
      <c r="C38" s="849">
        <v>15</v>
      </c>
      <c r="D38" s="893">
        <f>DATEVALUE(_xll.BDP($B38,D$2))</f>
        <v>45536</v>
      </c>
      <c r="E38" s="869"/>
      <c r="F38" s="869">
        <f>_xll.BDP(B38,F$2)</f>
        <v>3.75</v>
      </c>
      <c r="G38" s="870">
        <f>_xll.BDP($B38,G$2)</f>
        <v>115.184</v>
      </c>
      <c r="H38" s="828">
        <f>(G38+I38)/2</f>
        <v>115.2355</v>
      </c>
      <c r="I38" s="870">
        <f>_xll.BDP($B38,I$2)</f>
        <v>115.28700000000001</v>
      </c>
      <c r="J38" s="892">
        <f>_xll.BDP(B38&amp;"@CBBT Corp",J$2)</f>
        <v>69.168598679945774</v>
      </c>
      <c r="K38" s="829"/>
      <c r="L38" s="829"/>
      <c r="M38" s="829"/>
      <c r="N38" s="829"/>
      <c r="O38" s="829"/>
      <c r="P38" s="828"/>
      <c r="Q38" s="829"/>
      <c r="R38" s="829"/>
      <c r="S38" s="829"/>
      <c r="T38" s="829"/>
      <c r="U38" s="829"/>
      <c r="V38" s="829"/>
      <c r="W38" s="829"/>
      <c r="X38" s="829"/>
      <c r="Y38" s="829"/>
      <c r="Z38" s="829"/>
      <c r="AA38" s="829"/>
      <c r="AB38" s="829"/>
    </row>
    <row r="39" spans="1:28">
      <c r="A39" s="848" t="s">
        <v>424</v>
      </c>
      <c r="B39" s="849" t="str">
        <f>A39&amp;" Corp"</f>
        <v>IT0005045270 Corp</v>
      </c>
      <c r="C39" s="849">
        <v>16</v>
      </c>
      <c r="D39" s="893">
        <f>DATEVALUE(_xll.BDP($B39,D$2))</f>
        <v>45627</v>
      </c>
      <c r="E39" s="869"/>
      <c r="F39" s="869">
        <f>_xll.BDP(B39,F$2)</f>
        <v>2.5</v>
      </c>
      <c r="G39" s="870">
        <f>_xll.BDP($B39,G$2)</f>
        <v>107.227</v>
      </c>
      <c r="H39" s="828">
        <f>(G39+I39)/2</f>
        <v>107.28399999999999</v>
      </c>
      <c r="I39" s="870">
        <f>_xll.BDP($B39,I$2)</f>
        <v>107.34099999999999</v>
      </c>
      <c r="J39" s="892">
        <f>_xll.BDP(B39&amp;"@CBBT Corp",J$2)</f>
        <v>72.712391604574606</v>
      </c>
      <c r="K39" s="829"/>
      <c r="L39" s="829"/>
      <c r="M39" s="829"/>
      <c r="N39" s="829"/>
      <c r="O39" s="829"/>
      <c r="P39" s="828"/>
      <c r="Q39" s="829"/>
      <c r="R39" s="829"/>
      <c r="S39" s="829"/>
      <c r="T39" s="829"/>
      <c r="U39" s="829"/>
      <c r="V39" s="829"/>
      <c r="W39" s="829"/>
      <c r="X39" s="829"/>
      <c r="Y39" s="829"/>
      <c r="Z39" s="829"/>
      <c r="AA39" s="829"/>
      <c r="AB39" s="829"/>
    </row>
    <row r="40" spans="1:28">
      <c r="A40" s="848" t="s">
        <v>713</v>
      </c>
      <c r="B40" s="849" t="str">
        <f>A40&amp;" Corp"</f>
        <v>IT0004513641 Corp</v>
      </c>
      <c r="C40" s="849">
        <v>17</v>
      </c>
      <c r="D40" s="893">
        <f>DATEVALUE(_xll.BDP($B40,D$2))</f>
        <v>45717</v>
      </c>
      <c r="E40" s="869"/>
      <c r="F40" s="869">
        <f>_xll.BDP(B40,F$2)</f>
        <v>5</v>
      </c>
      <c r="G40" s="870">
        <f>_xll.BDP($B40,G$2)</f>
        <v>123.776</v>
      </c>
      <c r="H40" s="828">
        <f>(G40+I40)/2</f>
        <v>123.8305</v>
      </c>
      <c r="I40" s="870">
        <f>_xll.BDP($B40,I$2)</f>
        <v>123.88500000000001</v>
      </c>
      <c r="J40" s="892">
        <f>_xll.BDP(B40&amp;"@CBBT Corp",J$2)</f>
        <v>75.115069773978604</v>
      </c>
      <c r="K40" s="829"/>
      <c r="L40" s="829"/>
      <c r="M40" s="829"/>
      <c r="N40" s="829"/>
      <c r="O40" s="829"/>
      <c r="P40" s="828"/>
      <c r="Q40" s="829"/>
      <c r="R40" s="829"/>
      <c r="S40" s="829"/>
      <c r="T40" s="829"/>
      <c r="U40" s="829"/>
      <c r="V40" s="829"/>
      <c r="W40" s="829"/>
      <c r="X40" s="829"/>
      <c r="Y40" s="829"/>
      <c r="Z40" s="829"/>
      <c r="AA40" s="829"/>
      <c r="AB40" s="829"/>
    </row>
    <row r="41" spans="1:28">
      <c r="A41" s="848" t="s">
        <v>593</v>
      </c>
      <c r="B41" s="849" t="str">
        <f>A41&amp;" Corp"</f>
        <v>IT0005090318 Corp</v>
      </c>
      <c r="C41" s="849">
        <v>18</v>
      </c>
      <c r="D41" s="893">
        <f>DATEVALUE(_xll.BDP($B41,D$2))</f>
        <v>45809</v>
      </c>
      <c r="E41" s="869"/>
      <c r="F41" s="869">
        <f>_xll.BDP(B41,F$2)</f>
        <v>1.5</v>
      </c>
      <c r="G41" s="870">
        <f>_xll.BDP($B41,G$2)</f>
        <v>100.086</v>
      </c>
      <c r="H41" s="828">
        <f>(G41+I41)/2</f>
        <v>100.1335</v>
      </c>
      <c r="I41" s="870">
        <f>_xll.BDP($B41,I$2)</f>
        <v>100.181</v>
      </c>
      <c r="J41" s="892">
        <f>_xll.BDP(B41&amp;"@CBBT Corp",J$2)</f>
        <v>77.728625397952527</v>
      </c>
      <c r="K41" s="829"/>
      <c r="L41" s="829"/>
      <c r="M41" s="829"/>
      <c r="N41" s="829"/>
      <c r="O41" s="829"/>
      <c r="P41" s="828"/>
      <c r="Q41" s="829"/>
      <c r="R41" s="829"/>
      <c r="S41" s="829"/>
      <c r="T41" s="829"/>
      <c r="U41" s="829"/>
      <c r="V41" s="829"/>
      <c r="W41" s="829"/>
      <c r="X41" s="829"/>
      <c r="Y41" s="829"/>
      <c r="Z41" s="829"/>
      <c r="AA41" s="829"/>
      <c r="AB41" s="829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workbookViewId="0">
      <selection activeCell="I4" sqref="I4"/>
    </sheetView>
  </sheetViews>
  <sheetFormatPr defaultRowHeight="12.75"/>
  <cols>
    <col min="1" max="1" width="2.7109375" style="649" customWidth="1"/>
    <col min="2" max="2" width="9.42578125" style="649" customWidth="1"/>
    <col min="3" max="3" width="13.42578125" style="649" customWidth="1"/>
    <col min="4" max="4" width="2.7109375" style="649" customWidth="1"/>
    <col min="5" max="5" width="4.7109375" style="651" customWidth="1"/>
    <col min="6" max="6" width="16.42578125" style="906" customWidth="1"/>
    <col min="7" max="7" width="15.28515625" style="651" customWidth="1"/>
    <col min="8" max="8" width="4.7109375" style="651" customWidth="1"/>
    <col min="9" max="9" width="14.28515625" style="651" customWidth="1"/>
    <col min="10" max="10" width="10.28515625" style="647" customWidth="1"/>
    <col min="11" max="11" width="10.140625" style="647" customWidth="1"/>
    <col min="12" max="12" width="7.28515625" style="647" customWidth="1"/>
    <col min="13" max="13" width="11.28515625" style="647" customWidth="1"/>
    <col min="14" max="14" width="12.7109375" style="647" customWidth="1"/>
    <col min="15" max="15" width="12.42578125" style="647" customWidth="1"/>
    <col min="16" max="16" width="10.5703125" style="647" customWidth="1"/>
    <col min="17" max="17" width="10.42578125" style="647" customWidth="1"/>
    <col min="18" max="18" width="15.42578125" style="647" customWidth="1"/>
    <col min="19" max="19" width="7.140625" style="647" customWidth="1"/>
    <col min="20" max="20" width="12.140625" style="647" customWidth="1"/>
    <col min="21" max="21" width="19.140625" style="647" customWidth="1"/>
    <col min="22" max="22" width="2.7109375" style="647" customWidth="1"/>
    <col min="23" max="16384" width="9.140625" style="649"/>
  </cols>
  <sheetData>
    <row r="2" spans="2:21">
      <c r="B2" s="650" t="s">
        <v>1643</v>
      </c>
      <c r="C2" s="648" t="s">
        <v>566</v>
      </c>
      <c r="D2" s="655"/>
    </row>
    <row r="3" spans="2:21" ht="13.5" thickBot="1">
      <c r="B3" s="652" t="s">
        <v>1175</v>
      </c>
      <c r="C3" s="653" t="s">
        <v>1176</v>
      </c>
      <c r="D3" s="655"/>
    </row>
    <row r="4" spans="2:21" ht="13.5" thickBot="1">
      <c r="E4" s="895"/>
      <c r="F4" s="905" t="s">
        <v>1772</v>
      </c>
      <c r="G4" s="905" t="s">
        <v>2</v>
      </c>
      <c r="I4" s="904"/>
      <c r="J4" s="901" t="s">
        <v>7</v>
      </c>
      <c r="K4" s="902" t="s">
        <v>2</v>
      </c>
      <c r="L4" s="902" t="s">
        <v>1</v>
      </c>
      <c r="M4" s="902" t="s">
        <v>2</v>
      </c>
      <c r="N4" s="902" t="s">
        <v>3</v>
      </c>
      <c r="O4" s="902" t="s">
        <v>4</v>
      </c>
      <c r="P4" s="902" t="s">
        <v>5</v>
      </c>
      <c r="Q4" s="902" t="s">
        <v>6</v>
      </c>
      <c r="R4" s="902" t="s">
        <v>8</v>
      </c>
      <c r="S4" s="902" t="s">
        <v>10</v>
      </c>
      <c r="T4" s="902" t="s">
        <v>54</v>
      </c>
      <c r="U4" s="903" t="s">
        <v>9</v>
      </c>
    </row>
    <row r="5" spans="2:21">
      <c r="B5" s="910"/>
      <c r="C5" s="911"/>
      <c r="F5" s="907" t="s">
        <v>822</v>
      </c>
      <c r="G5" s="916">
        <f>IF(LEN($F5)&gt;1,_xll.BondInfo($F5,$G$4),"")</f>
        <v>43187</v>
      </c>
      <c r="I5" s="897" t="s">
        <v>822</v>
      </c>
      <c r="J5" s="663" t="str">
        <f t="array" ref="J5:T5">IF(AND(QueryFlag="ON",NOT(ISNA(I5))),_xll.BondInfo(I5,$J$4:$T$4),"")</f>
        <v/>
      </c>
      <c r="K5" s="659" t="str">
        <v/>
      </c>
      <c r="L5" s="660" t="str">
        <v/>
      </c>
      <c r="M5" s="659" t="str">
        <v/>
      </c>
      <c r="N5" s="659" t="str">
        <v/>
      </c>
      <c r="O5" s="659" t="str">
        <v/>
      </c>
      <c r="P5" s="659" t="str">
        <v/>
      </c>
      <c r="Q5" s="661" t="str">
        <v/>
      </c>
      <c r="R5" s="662" t="str">
        <v/>
      </c>
      <c r="S5" s="663" t="str">
        <v/>
      </c>
      <c r="T5" s="662" t="str">
        <v/>
      </c>
      <c r="U5" s="664" t="str">
        <f>IF(AND(QueryFlag="ON",NOT(ISNA(I5))),_xll.BondOutstanding(I5),"")</f>
        <v/>
      </c>
    </row>
    <row r="6" spans="2:21">
      <c r="B6" s="912"/>
      <c r="C6" s="913"/>
      <c r="F6" s="908" t="s">
        <v>584</v>
      </c>
      <c r="G6" s="917">
        <f>IF(LEN($F6)&gt;1,_xll.BondInfo($F6,$G$4),"")</f>
        <v>43235</v>
      </c>
      <c r="I6" s="898" t="s">
        <v>584</v>
      </c>
      <c r="J6" s="655" t="str">
        <f t="array" ref="J6:T6">IF(AND(QueryFlag="ON",NOT(ISNA(I6))),_xll.BondInfo(I6,$J$4:$T$4),"")</f>
        <v/>
      </c>
      <c r="K6" s="656" t="str">
        <v/>
      </c>
      <c r="L6" s="654" t="str">
        <v/>
      </c>
      <c r="M6" s="656" t="str">
        <v/>
      </c>
      <c r="N6" s="656" t="str">
        <v/>
      </c>
      <c r="O6" s="656" t="str">
        <v/>
      </c>
      <c r="P6" s="656" t="str">
        <v/>
      </c>
      <c r="Q6" s="657" t="str">
        <v/>
      </c>
      <c r="R6" s="658" t="str">
        <v/>
      </c>
      <c r="S6" s="655" t="str">
        <v/>
      </c>
      <c r="T6" s="658" t="str">
        <v/>
      </c>
      <c r="U6" s="665" t="str">
        <f>IF(AND(QueryFlag="ON",NOT(ISNA(I6))),_xll.BondOutstanding(I6),"")</f>
        <v/>
      </c>
    </row>
    <row r="7" spans="2:21">
      <c r="B7" s="912"/>
      <c r="C7" s="913"/>
      <c r="F7" s="908" t="s">
        <v>420</v>
      </c>
      <c r="G7" s="917">
        <f>IF(LEN($F7)&gt;1,_xll.BondInfo($F7,$G$4),"")</f>
        <v>43252</v>
      </c>
      <c r="I7" s="898" t="s">
        <v>420</v>
      </c>
      <c r="J7" s="655" t="str">
        <f t="array" ref="J7:T7">IF(AND(QueryFlag="ON",NOT(ISNA(I7))),_xll.BondInfo(I7,$J$4:$T$4),"")</f>
        <v/>
      </c>
      <c r="K7" s="656" t="str">
        <v/>
      </c>
      <c r="L7" s="654" t="str">
        <v/>
      </c>
      <c r="M7" s="656" t="str">
        <v/>
      </c>
      <c r="N7" s="656" t="str">
        <v/>
      </c>
      <c r="O7" s="656" t="str">
        <v/>
      </c>
      <c r="P7" s="656" t="str">
        <v/>
      </c>
      <c r="Q7" s="657" t="str">
        <v/>
      </c>
      <c r="R7" s="658" t="str">
        <v/>
      </c>
      <c r="S7" s="655" t="str">
        <v/>
      </c>
      <c r="T7" s="658" t="str">
        <v/>
      </c>
      <c r="U7" s="665" t="str">
        <f>IF(AND(QueryFlag="ON",NOT(ISNA(I7))),_xll.BondOutstanding(I7),"")</f>
        <v/>
      </c>
    </row>
    <row r="8" spans="2:21">
      <c r="B8" s="912"/>
      <c r="C8" s="913"/>
      <c r="F8" s="908" t="s">
        <v>697</v>
      </c>
      <c r="G8" s="917">
        <f>IF(LEN($F8)&gt;1,_xll.BondInfo($F8,$G$4),"")</f>
        <v>43313</v>
      </c>
      <c r="I8" s="898" t="s">
        <v>697</v>
      </c>
      <c r="J8" s="655" t="str">
        <f t="array" ref="J8:T8">IF(AND(QueryFlag="ON",NOT(ISNA(I8))),_xll.BondInfo(I8,$J$4:$T$4),"")</f>
        <v/>
      </c>
      <c r="K8" s="656" t="str">
        <v/>
      </c>
      <c r="L8" s="654" t="str">
        <v/>
      </c>
      <c r="M8" s="656" t="str">
        <v/>
      </c>
      <c r="N8" s="656" t="str">
        <v/>
      </c>
      <c r="O8" s="656" t="str">
        <v/>
      </c>
      <c r="P8" s="656" t="str">
        <v/>
      </c>
      <c r="Q8" s="657" t="str">
        <v/>
      </c>
      <c r="R8" s="658" t="str">
        <v/>
      </c>
      <c r="S8" s="655" t="str">
        <v/>
      </c>
      <c r="T8" s="658" t="str">
        <v/>
      </c>
      <c r="U8" s="665" t="str">
        <f>IF(AND(QueryFlag="ON",NOT(ISNA(I8))),_xll.BondOutstanding(I8),"")</f>
        <v/>
      </c>
    </row>
    <row r="9" spans="2:21">
      <c r="B9" s="914"/>
      <c r="C9" s="915"/>
      <c r="F9" s="908" t="s">
        <v>752</v>
      </c>
      <c r="G9" s="917">
        <f>IF(LEN($F9)&gt;1,_xll.BondInfo($F9,$G$4),"")</f>
        <v>43388</v>
      </c>
      <c r="I9" s="898" t="s">
        <v>752</v>
      </c>
      <c r="J9" s="655" t="str">
        <f t="array" ref="J9:T9">IF(AND(QueryFlag="ON",NOT(ISNA(I9))),_xll.BondInfo(I9,$J$4:$T$4),"")</f>
        <v/>
      </c>
      <c r="K9" s="656" t="str">
        <v/>
      </c>
      <c r="L9" s="654" t="str">
        <v/>
      </c>
      <c r="M9" s="656" t="str">
        <v/>
      </c>
      <c r="N9" s="656" t="str">
        <v/>
      </c>
      <c r="O9" s="656" t="str">
        <v/>
      </c>
      <c r="P9" s="656" t="str">
        <v/>
      </c>
      <c r="Q9" s="657" t="str">
        <v/>
      </c>
      <c r="R9" s="658" t="str">
        <v/>
      </c>
      <c r="S9" s="655" t="str">
        <v/>
      </c>
      <c r="T9" s="658" t="str">
        <v/>
      </c>
      <c r="U9" s="665" t="str">
        <f>IF(AND(QueryFlag="ON",NOT(ISNA(I9))),_xll.BondOutstanding(I9),"")</f>
        <v/>
      </c>
    </row>
    <row r="10" spans="2:21">
      <c r="F10" s="908" t="s">
        <v>421</v>
      </c>
      <c r="G10" s="917">
        <f>IF(LEN($F10)&gt;1,_xll.BondInfo($F10,$G$4),"")</f>
        <v>43435</v>
      </c>
      <c r="I10" s="898" t="s">
        <v>421</v>
      </c>
      <c r="J10" s="655" t="str">
        <f t="array" ref="J10:T10">IF(AND(QueryFlag="ON",NOT(ISNA(I10))),_xll.BondInfo(I10,$J$4:$T$4),"")</f>
        <v/>
      </c>
      <c r="K10" s="656" t="str">
        <v/>
      </c>
      <c r="L10" s="654" t="str">
        <v/>
      </c>
      <c r="M10" s="656" t="str">
        <v/>
      </c>
      <c r="N10" s="656" t="str">
        <v/>
      </c>
      <c r="O10" s="656" t="str">
        <v/>
      </c>
      <c r="P10" s="656" t="str">
        <v/>
      </c>
      <c r="Q10" s="657" t="str">
        <v/>
      </c>
      <c r="R10" s="658" t="str">
        <v/>
      </c>
      <c r="S10" s="655" t="str">
        <v/>
      </c>
      <c r="T10" s="658" t="str">
        <v/>
      </c>
      <c r="U10" s="665" t="str">
        <f>IF(AND(QueryFlag="ON",NOT(ISNA(I10))),_xll.BondOutstanding(I10),"")</f>
        <v/>
      </c>
    </row>
    <row r="11" spans="2:21">
      <c r="B11" s="910"/>
      <c r="C11" s="911"/>
      <c r="F11" s="908" t="s">
        <v>1627</v>
      </c>
      <c r="G11" s="917">
        <f>IF(LEN($F11)&gt;1,_xll.BondInfo($F11,$G$4),"")</f>
        <v>43462</v>
      </c>
      <c r="I11" s="898" t="s">
        <v>1627</v>
      </c>
      <c r="J11" s="655" t="str">
        <f t="array" ref="J11:T11">IF(AND(QueryFlag="ON",NOT(ISNA(I11))),_xll.BondInfo(I11,$J$4:$T$4),"")</f>
        <v/>
      </c>
      <c r="K11" s="656" t="str">
        <v/>
      </c>
      <c r="L11" s="654" t="str">
        <v/>
      </c>
      <c r="M11" s="656" t="str">
        <v/>
      </c>
      <c r="N11" s="656" t="str">
        <v/>
      </c>
      <c r="O11" s="656" t="str">
        <v/>
      </c>
      <c r="P11" s="656" t="str">
        <v/>
      </c>
      <c r="Q11" s="657" t="str">
        <v/>
      </c>
      <c r="R11" s="658" t="str">
        <v/>
      </c>
      <c r="S11" s="655" t="str">
        <v/>
      </c>
      <c r="T11" s="658" t="str">
        <v/>
      </c>
      <c r="U11" s="665" t="str">
        <f>IF(AND(QueryFlag="ON",NOT(ISNA(I11))),_xll.BondOutstanding(I11),"")</f>
        <v/>
      </c>
    </row>
    <row r="12" spans="2:21">
      <c r="B12" s="912"/>
      <c r="C12" s="913"/>
      <c r="F12" s="908" t="s">
        <v>563</v>
      </c>
      <c r="G12" s="917">
        <f>IF(LEN($F12)&gt;1,_xll.BondInfo($F12,$G$4),"")</f>
        <v>43497</v>
      </c>
      <c r="I12" s="898" t="s">
        <v>563</v>
      </c>
      <c r="J12" s="655" t="str">
        <f t="array" ref="J12:T12">IF(AND(QueryFlag="ON",NOT(ISNA(I12))),_xll.BondInfo(I12,$J$4:$T$4),"")</f>
        <v/>
      </c>
      <c r="K12" s="656" t="str">
        <v/>
      </c>
      <c r="L12" s="654" t="str">
        <v/>
      </c>
      <c r="M12" s="656" t="str">
        <v/>
      </c>
      <c r="N12" s="656" t="str">
        <v/>
      </c>
      <c r="O12" s="656" t="str">
        <v/>
      </c>
      <c r="P12" s="656" t="str">
        <v/>
      </c>
      <c r="Q12" s="657" t="str">
        <v/>
      </c>
      <c r="R12" s="658" t="str">
        <v/>
      </c>
      <c r="S12" s="655" t="str">
        <v/>
      </c>
      <c r="T12" s="658" t="str">
        <v/>
      </c>
      <c r="U12" s="665" t="str">
        <f>IF(AND(QueryFlag="ON",NOT(ISNA(I12))),_xll.BondOutstanding(I12),"")</f>
        <v/>
      </c>
    </row>
    <row r="13" spans="2:21">
      <c r="B13" s="912"/>
      <c r="C13" s="913"/>
      <c r="F13" s="908" t="s">
        <v>698</v>
      </c>
      <c r="G13" s="917">
        <f>IF(LEN($F13)&gt;1,_xll.BondInfo($F13,$G$4),"")</f>
        <v>43525</v>
      </c>
      <c r="I13" s="898" t="s">
        <v>698</v>
      </c>
      <c r="J13" s="655" t="str">
        <f t="array" ref="J13:T13">IF(AND(QueryFlag="ON",NOT(ISNA(I13))),_xll.BondInfo(I13,$J$4:$T$4),"")</f>
        <v/>
      </c>
      <c r="K13" s="656" t="str">
        <v/>
      </c>
      <c r="L13" s="654" t="str">
        <v/>
      </c>
      <c r="M13" s="656" t="str">
        <v/>
      </c>
      <c r="N13" s="656" t="str">
        <v/>
      </c>
      <c r="O13" s="656" t="str">
        <v/>
      </c>
      <c r="P13" s="656" t="str">
        <v/>
      </c>
      <c r="Q13" s="657" t="str">
        <v/>
      </c>
      <c r="R13" s="658" t="str">
        <v/>
      </c>
      <c r="S13" s="655" t="str">
        <v/>
      </c>
      <c r="T13" s="658" t="str">
        <v/>
      </c>
      <c r="U13" s="665" t="str">
        <f>IF(AND(QueryFlag="ON",NOT(ISNA(I13))),_xll.BondOutstanding(I13),"")</f>
        <v/>
      </c>
    </row>
    <row r="14" spans="2:21">
      <c r="B14" s="912"/>
      <c r="C14" s="913"/>
      <c r="F14" s="908" t="s">
        <v>864</v>
      </c>
      <c r="G14" s="917">
        <f>IF(LEN($F14)&gt;1,_xll.BondInfo($F14,$G$4),"")</f>
        <v>43570</v>
      </c>
      <c r="I14" s="898" t="s">
        <v>864</v>
      </c>
      <c r="J14" s="655" t="str">
        <f t="array" ref="J14:T14">IF(AND(QueryFlag="ON",NOT(ISNA(I14))),_xll.BondInfo(I14,$J$4:$T$4),"")</f>
        <v/>
      </c>
      <c r="K14" s="656" t="str">
        <v/>
      </c>
      <c r="L14" s="654" t="str">
        <v/>
      </c>
      <c r="M14" s="656" t="str">
        <v/>
      </c>
      <c r="N14" s="656" t="str">
        <v/>
      </c>
      <c r="O14" s="656" t="str">
        <v/>
      </c>
      <c r="P14" s="656" t="str">
        <v/>
      </c>
      <c r="Q14" s="657" t="str">
        <v/>
      </c>
      <c r="R14" s="658" t="str">
        <v/>
      </c>
      <c r="S14" s="655" t="str">
        <v/>
      </c>
      <c r="T14" s="658" t="str">
        <v/>
      </c>
      <c r="U14" s="665" t="str">
        <f>IF(AND(QueryFlag="ON",NOT(ISNA(I14))),_xll.BondOutstanding(I14),"")</f>
        <v/>
      </c>
    </row>
    <row r="15" spans="2:21">
      <c r="B15" s="914"/>
      <c r="C15" s="915"/>
      <c r="F15" s="908" t="s">
        <v>699</v>
      </c>
      <c r="G15" s="917">
        <f>IF(LEN($F15)&gt;1,_xll.BondInfo($F15,$G$4),"")</f>
        <v>43586</v>
      </c>
      <c r="I15" s="898" t="s">
        <v>699</v>
      </c>
      <c r="J15" s="655" t="str">
        <f t="array" ref="J15:T15">IF(AND(QueryFlag="ON",NOT(ISNA(I15))),_xll.BondInfo(I15,$J$4:$T$4),"")</f>
        <v/>
      </c>
      <c r="K15" s="656" t="str">
        <v/>
      </c>
      <c r="L15" s="654" t="str">
        <v/>
      </c>
      <c r="M15" s="656" t="str">
        <v/>
      </c>
      <c r="N15" s="656" t="str">
        <v/>
      </c>
      <c r="O15" s="656" t="str">
        <v/>
      </c>
      <c r="P15" s="656" t="str">
        <v/>
      </c>
      <c r="Q15" s="657" t="str">
        <v/>
      </c>
      <c r="R15" s="658" t="str">
        <v/>
      </c>
      <c r="S15" s="655" t="str">
        <v/>
      </c>
      <c r="T15" s="658" t="str">
        <v/>
      </c>
      <c r="U15" s="665" t="str">
        <f>IF(AND(QueryFlag="ON",NOT(ISNA(I15))),_xll.BondOutstanding(I15),"")</f>
        <v/>
      </c>
    </row>
    <row r="16" spans="2:21">
      <c r="F16" s="908" t="s">
        <v>1628</v>
      </c>
      <c r="G16" s="917">
        <f>IF(LEN($F16)&gt;1,_xll.BondInfo($F16,$G$4),"")</f>
        <v>43615</v>
      </c>
      <c r="I16" s="898" t="s">
        <v>1628</v>
      </c>
      <c r="J16" s="655" t="str">
        <f t="array" ref="J16:T16">IF(AND(QueryFlag="ON",NOT(ISNA(I16))),_xll.BondInfo(I16,$J$4:$T$4),"")</f>
        <v/>
      </c>
      <c r="K16" s="656" t="str">
        <v/>
      </c>
      <c r="L16" s="654" t="str">
        <v/>
      </c>
      <c r="M16" s="656" t="str">
        <v/>
      </c>
      <c r="N16" s="656" t="str">
        <v/>
      </c>
      <c r="O16" s="656" t="str">
        <v/>
      </c>
      <c r="P16" s="656" t="str">
        <v/>
      </c>
      <c r="Q16" s="657" t="str">
        <v/>
      </c>
      <c r="R16" s="658" t="str">
        <v/>
      </c>
      <c r="S16" s="655" t="str">
        <v/>
      </c>
      <c r="T16" s="658" t="str">
        <v/>
      </c>
      <c r="U16" s="665" t="str">
        <f>IF(AND(QueryFlag="ON",NOT(ISNA(I16))),_xll.BondOutstanding(I16),"")</f>
        <v/>
      </c>
    </row>
    <row r="17" spans="6:21">
      <c r="F17" s="908" t="s">
        <v>585</v>
      </c>
      <c r="G17" s="917">
        <f>IF(LEN($F17)&gt;1,_xll.BondInfo($F17,$G$4),"")</f>
        <v>43678</v>
      </c>
      <c r="I17" s="898" t="s">
        <v>585</v>
      </c>
      <c r="J17" s="655" t="str">
        <f t="array" ref="J17:T17">IF(AND(QueryFlag="ON",NOT(ISNA(I17))),_xll.BondInfo(I17,$J$4:$T$4),"")</f>
        <v/>
      </c>
      <c r="K17" s="656" t="str">
        <v/>
      </c>
      <c r="L17" s="654" t="str">
        <v/>
      </c>
      <c r="M17" s="656" t="str">
        <v/>
      </c>
      <c r="N17" s="656" t="str">
        <v/>
      </c>
      <c r="O17" s="656" t="str">
        <v/>
      </c>
      <c r="P17" s="656" t="str">
        <v/>
      </c>
      <c r="Q17" s="657" t="str">
        <v/>
      </c>
      <c r="R17" s="658" t="str">
        <v/>
      </c>
      <c r="S17" s="655" t="str">
        <v/>
      </c>
      <c r="T17" s="658" t="str">
        <v/>
      </c>
      <c r="U17" s="665" t="str">
        <f>IF(AND(QueryFlag="ON",NOT(ISNA(I17))),_xll.BondOutstanding(I17),"")</f>
        <v/>
      </c>
    </row>
    <row r="18" spans="6:21">
      <c r="F18" s="908" t="s">
        <v>334</v>
      </c>
      <c r="G18" s="917">
        <f>IF(LEN($F18)&gt;1,_xll.BondInfo($F18,$G$4),"")</f>
        <v>43709</v>
      </c>
      <c r="I18" s="898" t="s">
        <v>334</v>
      </c>
      <c r="J18" s="655" t="str">
        <f t="array" ref="J18:T18">IF(AND(QueryFlag="ON",NOT(ISNA(I18))),_xll.BondInfo(I18,$J$4:$T$4),"")</f>
        <v/>
      </c>
      <c r="K18" s="656" t="str">
        <v/>
      </c>
      <c r="L18" s="654" t="str">
        <v/>
      </c>
      <c r="M18" s="656" t="str">
        <v/>
      </c>
      <c r="N18" s="656" t="str">
        <v/>
      </c>
      <c r="O18" s="656" t="str">
        <v/>
      </c>
      <c r="P18" s="656" t="str">
        <v/>
      </c>
      <c r="Q18" s="657" t="str">
        <v/>
      </c>
      <c r="R18" s="658" t="str">
        <v/>
      </c>
      <c r="S18" s="655" t="str">
        <v/>
      </c>
      <c r="T18" s="658" t="str">
        <v/>
      </c>
      <c r="U18" s="665" t="str">
        <f>IF(AND(QueryFlag="ON",NOT(ISNA(I18))),_xll.BondOutstanding(I18),"")</f>
        <v/>
      </c>
    </row>
    <row r="19" spans="6:21">
      <c r="F19" s="908" t="s">
        <v>895</v>
      </c>
      <c r="G19" s="917">
        <f>IF(LEN($F19)&gt;1,_xll.BondInfo($F19,$G$4),"")</f>
        <v>43753</v>
      </c>
      <c r="I19" s="898" t="s">
        <v>895</v>
      </c>
      <c r="J19" s="655" t="str">
        <f t="array" ref="J19:T19">IF(AND(QueryFlag="ON",NOT(ISNA(I19))),_xll.BondInfo(I19,$J$4:$T$4),"")</f>
        <v/>
      </c>
      <c r="K19" s="656" t="str">
        <v/>
      </c>
      <c r="L19" s="654" t="str">
        <v/>
      </c>
      <c r="M19" s="656" t="str">
        <v/>
      </c>
      <c r="N19" s="656" t="str">
        <v/>
      </c>
      <c r="O19" s="656" t="str">
        <v/>
      </c>
      <c r="P19" s="656" t="str">
        <v/>
      </c>
      <c r="Q19" s="657" t="str">
        <v/>
      </c>
      <c r="R19" s="658" t="str">
        <v/>
      </c>
      <c r="S19" s="655" t="str">
        <v/>
      </c>
      <c r="T19" s="658" t="str">
        <v/>
      </c>
      <c r="U19" s="665" t="str">
        <f>IF(AND(QueryFlag="ON",NOT(ISNA(I19))),_xll.BondOutstanding(I19),"")</f>
        <v/>
      </c>
    </row>
    <row r="20" spans="6:21">
      <c r="F20" s="908" t="s">
        <v>1629</v>
      </c>
      <c r="G20" s="917">
        <f>IF(LEN($F20)&gt;1,_xll.BondInfo($F20,$G$4),"")</f>
        <v>43768</v>
      </c>
      <c r="I20" s="898" t="s">
        <v>1629</v>
      </c>
      <c r="J20" s="655" t="str">
        <f t="array" ref="J20:T20">IF(AND(QueryFlag="ON",NOT(ISNA(I20))),_xll.BondInfo(I20,$J$4:$T$4),"")</f>
        <v/>
      </c>
      <c r="K20" s="656" t="str">
        <v/>
      </c>
      <c r="L20" s="654" t="str">
        <v/>
      </c>
      <c r="M20" s="656" t="str">
        <v/>
      </c>
      <c r="N20" s="656" t="str">
        <v/>
      </c>
      <c r="O20" s="656" t="str">
        <v/>
      </c>
      <c r="P20" s="656" t="str">
        <v/>
      </c>
      <c r="Q20" s="657" t="str">
        <v/>
      </c>
      <c r="R20" s="658" t="str">
        <v/>
      </c>
      <c r="S20" s="655" t="str">
        <v/>
      </c>
      <c r="T20" s="658" t="str">
        <v/>
      </c>
      <c r="U20" s="665" t="str">
        <f>IF(AND(QueryFlag="ON",NOT(ISNA(I20))),_xll.BondOutstanding(I20),"")</f>
        <v/>
      </c>
    </row>
    <row r="21" spans="6:21">
      <c r="F21" s="908" t="s">
        <v>587</v>
      </c>
      <c r="G21" s="917">
        <f>IF(LEN($F21)&gt;1,_xll.BondInfo($F21,$G$4),"")</f>
        <v>43800</v>
      </c>
      <c r="I21" s="898" t="s">
        <v>587</v>
      </c>
      <c r="J21" s="655" t="str">
        <f t="array" ref="J21:T21">IF(AND(QueryFlag="ON",NOT(ISNA(I21))),_xll.BondInfo(I21,$J$4:$T$4),"")</f>
        <v/>
      </c>
      <c r="K21" s="656" t="str">
        <v/>
      </c>
      <c r="L21" s="654" t="str">
        <v/>
      </c>
      <c r="M21" s="656" t="str">
        <v/>
      </c>
      <c r="N21" s="656" t="str">
        <v/>
      </c>
      <c r="O21" s="656" t="str">
        <v/>
      </c>
      <c r="P21" s="656" t="str">
        <v/>
      </c>
      <c r="Q21" s="657" t="str">
        <v/>
      </c>
      <c r="R21" s="658" t="str">
        <v/>
      </c>
      <c r="S21" s="655" t="str">
        <v/>
      </c>
      <c r="T21" s="658" t="str">
        <v/>
      </c>
      <c r="U21" s="665" t="str">
        <f>IF(AND(QueryFlag="ON",NOT(ISNA(I21))),_xll.BondOutstanding(I21),"")</f>
        <v/>
      </c>
    </row>
    <row r="22" spans="6:21">
      <c r="F22" s="908" t="s">
        <v>700</v>
      </c>
      <c r="G22" s="917">
        <f>IF(LEN($F22)&gt;1,_xll.BondInfo($F22,$G$4),"")</f>
        <v>43862</v>
      </c>
      <c r="I22" s="898" t="s">
        <v>700</v>
      </c>
      <c r="J22" s="655" t="str">
        <f t="array" ref="J22:T22">IF(AND(QueryFlag="ON",NOT(ISNA(I22))),_xll.BondInfo(I22,$J$4:$T$4),"")</f>
        <v/>
      </c>
      <c r="K22" s="656" t="str">
        <v/>
      </c>
      <c r="L22" s="654" t="str">
        <v/>
      </c>
      <c r="M22" s="656" t="str">
        <v/>
      </c>
      <c r="N22" s="656" t="str">
        <v/>
      </c>
      <c r="O22" s="656" t="str">
        <v/>
      </c>
      <c r="P22" s="656" t="str">
        <v/>
      </c>
      <c r="Q22" s="657" t="str">
        <v/>
      </c>
      <c r="R22" s="658" t="str">
        <v/>
      </c>
      <c r="S22" s="655" t="str">
        <v/>
      </c>
      <c r="T22" s="658" t="str">
        <v/>
      </c>
      <c r="U22" s="665" t="str">
        <f>IF(AND(QueryFlag="ON",NOT(ISNA(I22))),_xll.BondOutstanding(I22),"")</f>
        <v/>
      </c>
    </row>
    <row r="23" spans="6:21">
      <c r="F23" s="908" t="s">
        <v>701</v>
      </c>
      <c r="G23" s="917">
        <f>IF(LEN($F23)&gt;1,_xll.BondInfo($F23,$G$4),"")</f>
        <v>43891</v>
      </c>
      <c r="I23" s="898" t="s">
        <v>701</v>
      </c>
      <c r="J23" s="655" t="str">
        <f t="array" ref="J23:T23">IF(AND(QueryFlag="ON",NOT(ISNA(I23))),_xll.BondInfo(I23,$J$4:$T$4),"")</f>
        <v/>
      </c>
      <c r="K23" s="656" t="str">
        <v/>
      </c>
      <c r="L23" s="654" t="str">
        <v/>
      </c>
      <c r="M23" s="656" t="str">
        <v/>
      </c>
      <c r="N23" s="656" t="str">
        <v/>
      </c>
      <c r="O23" s="656" t="str">
        <v/>
      </c>
      <c r="P23" s="656" t="str">
        <v/>
      </c>
      <c r="Q23" s="657" t="str">
        <v/>
      </c>
      <c r="R23" s="658" t="str">
        <v/>
      </c>
      <c r="S23" s="655" t="str">
        <v/>
      </c>
      <c r="T23" s="658" t="str">
        <v/>
      </c>
      <c r="U23" s="665" t="str">
        <f>IF(AND(QueryFlag="ON",NOT(ISNA(I23))),_xll.BondOutstanding(I23),"")</f>
        <v/>
      </c>
    </row>
    <row r="24" spans="6:21">
      <c r="F24" s="908" t="s">
        <v>751</v>
      </c>
      <c r="G24" s="917">
        <f>IF(LEN($F24)&gt;1,_xll.BondInfo($F24,$G$4),"")</f>
        <v>43952</v>
      </c>
      <c r="I24" s="898" t="s">
        <v>751</v>
      </c>
      <c r="J24" s="655" t="str">
        <f t="array" ref="J24:T24">IF(AND(QueryFlag="ON",NOT(ISNA(I24))),_xll.BondInfo(I24,$J$4:$T$4),"")</f>
        <v/>
      </c>
      <c r="K24" s="656" t="str">
        <v/>
      </c>
      <c r="L24" s="654" t="str">
        <v/>
      </c>
      <c r="M24" s="656" t="str">
        <v/>
      </c>
      <c r="N24" s="656" t="str">
        <v/>
      </c>
      <c r="O24" s="656" t="str">
        <v/>
      </c>
      <c r="P24" s="656" t="str">
        <v/>
      </c>
      <c r="Q24" s="657" t="str">
        <v/>
      </c>
      <c r="R24" s="658" t="str">
        <v/>
      </c>
      <c r="S24" s="655" t="str">
        <v/>
      </c>
      <c r="T24" s="658" t="str">
        <v/>
      </c>
      <c r="U24" s="665" t="str">
        <f>IF(AND(QueryFlag="ON",NOT(ISNA(I24))),_xll.BondOutstanding(I24),"")</f>
        <v/>
      </c>
    </row>
    <row r="25" spans="6:21">
      <c r="F25" s="908" t="s">
        <v>993</v>
      </c>
      <c r="G25" s="917">
        <f>IF(LEN($F25)&gt;1,_xll.BondInfo($F25,$G$4),"")</f>
        <v>43997</v>
      </c>
      <c r="I25" s="898" t="s">
        <v>993</v>
      </c>
      <c r="J25" s="655" t="str">
        <f t="array" ref="J25:T25">IF(AND(QueryFlag="ON",NOT(ISNA(I25))),_xll.BondInfo(I25,$J$4:$T$4),"")</f>
        <v/>
      </c>
      <c r="K25" s="656" t="str">
        <v/>
      </c>
      <c r="L25" s="654" t="str">
        <v/>
      </c>
      <c r="M25" s="656" t="str">
        <v/>
      </c>
      <c r="N25" s="656" t="str">
        <v/>
      </c>
      <c r="O25" s="656" t="str">
        <v/>
      </c>
      <c r="P25" s="656" t="str">
        <v/>
      </c>
      <c r="Q25" s="657" t="str">
        <v/>
      </c>
      <c r="R25" s="658" t="str">
        <v/>
      </c>
      <c r="S25" s="655" t="str">
        <v/>
      </c>
      <c r="T25" s="658" t="str">
        <v/>
      </c>
      <c r="U25" s="665" t="str">
        <f>IF(AND(QueryFlag="ON",NOT(ISNA(I25))),_xll.BondOutstanding(I25),"")</f>
        <v/>
      </c>
    </row>
    <row r="26" spans="6:21">
      <c r="F26" s="908" t="s">
        <v>702</v>
      </c>
      <c r="G26" s="917">
        <f>IF(LEN($F26)&gt;1,_xll.BondInfo($F26,$G$4),"")</f>
        <v>44075</v>
      </c>
      <c r="I26" s="898" t="s">
        <v>702</v>
      </c>
      <c r="J26" s="655" t="str">
        <f t="array" ref="J26:T26">IF(AND(QueryFlag="ON",NOT(ISNA(I26))),_xll.BondInfo(I26,$J$4:$T$4),"")</f>
        <v/>
      </c>
      <c r="K26" s="656" t="str">
        <v/>
      </c>
      <c r="L26" s="654" t="str">
        <v/>
      </c>
      <c r="M26" s="656" t="str">
        <v/>
      </c>
      <c r="N26" s="656" t="str">
        <v/>
      </c>
      <c r="O26" s="656" t="str">
        <v/>
      </c>
      <c r="P26" s="656" t="str">
        <v/>
      </c>
      <c r="Q26" s="657" t="str">
        <v/>
      </c>
      <c r="R26" s="658" t="str">
        <v/>
      </c>
      <c r="S26" s="655" t="str">
        <v/>
      </c>
      <c r="T26" s="658" t="str">
        <v/>
      </c>
      <c r="U26" s="665" t="str">
        <f>IF(AND(QueryFlag="ON",NOT(ISNA(I26))),_xll.BondOutstanding(I26),"")</f>
        <v/>
      </c>
    </row>
    <row r="27" spans="6:21">
      <c r="F27" s="908" t="s">
        <v>1630</v>
      </c>
      <c r="G27" s="917">
        <f>IF(LEN($F27)&gt;1,_xll.BondInfo($F27,$G$4),"")</f>
        <v>44119</v>
      </c>
      <c r="I27" s="898" t="s">
        <v>1630</v>
      </c>
      <c r="J27" s="655" t="str">
        <f t="array" ref="J27:T27">IF(AND(QueryFlag="ON",NOT(ISNA(I27))),_xll.BondInfo(I27,$J$4:$T$4),"")</f>
        <v/>
      </c>
      <c r="K27" s="656" t="str">
        <v/>
      </c>
      <c r="L27" s="654" t="str">
        <v/>
      </c>
      <c r="M27" s="656" t="str">
        <v/>
      </c>
      <c r="N27" s="656" t="str">
        <v/>
      </c>
      <c r="O27" s="656" t="str">
        <v/>
      </c>
      <c r="P27" s="656" t="str">
        <v/>
      </c>
      <c r="Q27" s="657" t="str">
        <v/>
      </c>
      <c r="R27" s="658" t="str">
        <v/>
      </c>
      <c r="S27" s="655" t="str">
        <v/>
      </c>
      <c r="T27" s="658" t="str">
        <v/>
      </c>
      <c r="U27" s="665" t="str">
        <f>IF(AND(QueryFlag="ON",NOT(ISNA(I27))),_xll.BondOutstanding(I27),"")</f>
        <v/>
      </c>
    </row>
    <row r="28" spans="6:21">
      <c r="F28" s="908" t="s">
        <v>802</v>
      </c>
      <c r="G28" s="917">
        <f>IF(LEN($F28)&gt;1,_xll.BondInfo($F28,$G$4),"")</f>
        <v>44136</v>
      </c>
      <c r="I28" s="898" t="s">
        <v>802</v>
      </c>
      <c r="J28" s="655" t="str">
        <f t="array" ref="J28:T28">IF(AND(QueryFlag="ON",NOT(ISNA(I28))),_xll.BondInfo(I28,$J$4:$T$4),"")</f>
        <v/>
      </c>
      <c r="K28" s="656" t="str">
        <v/>
      </c>
      <c r="L28" s="654" t="str">
        <v/>
      </c>
      <c r="M28" s="656" t="str">
        <v/>
      </c>
      <c r="N28" s="656" t="str">
        <v/>
      </c>
      <c r="O28" s="656" t="str">
        <v/>
      </c>
      <c r="P28" s="656" t="str">
        <v/>
      </c>
      <c r="Q28" s="657" t="str">
        <v/>
      </c>
      <c r="R28" s="658" t="str">
        <v/>
      </c>
      <c r="S28" s="655" t="str">
        <v/>
      </c>
      <c r="T28" s="658" t="str">
        <v/>
      </c>
      <c r="U28" s="665" t="str">
        <f>IF(AND(QueryFlag="ON",NOT(ISNA(I28))),_xll.BondOutstanding(I28),"")</f>
        <v/>
      </c>
    </row>
    <row r="29" spans="6:21">
      <c r="F29" s="908" t="s">
        <v>703</v>
      </c>
      <c r="G29" s="917">
        <f>IF(LEN($F29)&gt;1,_xll.BondInfo($F29,$G$4),"")</f>
        <v>44256</v>
      </c>
      <c r="I29" s="898" t="s">
        <v>703</v>
      </c>
      <c r="J29" s="655" t="str">
        <f t="array" ref="J29:T29">IF(AND(QueryFlag="ON",NOT(ISNA(I29))),_xll.BondInfo(I29,$J$4:$T$4),"")</f>
        <v/>
      </c>
      <c r="K29" s="656" t="str">
        <v/>
      </c>
      <c r="L29" s="654" t="str">
        <v/>
      </c>
      <c r="M29" s="656" t="str">
        <v/>
      </c>
      <c r="N29" s="656" t="str">
        <v/>
      </c>
      <c r="O29" s="656" t="str">
        <v/>
      </c>
      <c r="P29" s="656" t="str">
        <v/>
      </c>
      <c r="Q29" s="657" t="str">
        <v/>
      </c>
      <c r="R29" s="658" t="str">
        <v/>
      </c>
      <c r="S29" s="655" t="str">
        <v/>
      </c>
      <c r="T29" s="658" t="str">
        <v/>
      </c>
      <c r="U29" s="665" t="str">
        <f>IF(AND(QueryFlag="ON",NOT(ISNA(I29))),_xll.BondOutstanding(I29),"")</f>
        <v/>
      </c>
    </row>
    <row r="30" spans="6:21">
      <c r="F30" s="908" t="s">
        <v>422</v>
      </c>
      <c r="G30" s="917">
        <f>IF(LEN($F30)&gt;1,_xll.BondInfo($F30,$G$4),"")</f>
        <v>44317</v>
      </c>
      <c r="I30" s="898" t="s">
        <v>422</v>
      </c>
      <c r="J30" s="655" t="str">
        <f t="array" ref="J30:T30">IF(AND(QueryFlag="ON",NOT(ISNA(I30))),_xll.BondInfo(I30,$J$4:$T$4),"")</f>
        <v/>
      </c>
      <c r="K30" s="656" t="str">
        <v/>
      </c>
      <c r="L30" s="654" t="str">
        <v/>
      </c>
      <c r="M30" s="656" t="str">
        <v/>
      </c>
      <c r="N30" s="656" t="str">
        <v/>
      </c>
      <c r="O30" s="656" t="str">
        <v/>
      </c>
      <c r="P30" s="656" t="str">
        <v/>
      </c>
      <c r="Q30" s="657" t="str">
        <v/>
      </c>
      <c r="R30" s="658" t="str">
        <v/>
      </c>
      <c r="S30" s="655" t="str">
        <v/>
      </c>
      <c r="T30" s="658" t="str">
        <v/>
      </c>
      <c r="U30" s="665" t="str">
        <f>IF(AND(QueryFlag="ON",NOT(ISNA(I30))),_xll.BondOutstanding(I30),"")</f>
        <v/>
      </c>
    </row>
    <row r="31" spans="6:21">
      <c r="F31" s="908" t="s">
        <v>823</v>
      </c>
      <c r="G31" s="917">
        <f>IF(LEN($F31)&gt;1,_xll.BondInfo($F31,$G$4),"")</f>
        <v>44348</v>
      </c>
      <c r="I31" s="898" t="s">
        <v>823</v>
      </c>
      <c r="J31" s="655" t="str">
        <f t="array" ref="J31:T31">IF(AND(QueryFlag="ON",NOT(ISNA(I31))),_xll.BondInfo(I31,$J$4:$T$4),"")</f>
        <v/>
      </c>
      <c r="K31" s="656" t="str">
        <v/>
      </c>
      <c r="L31" s="654" t="str">
        <v/>
      </c>
      <c r="M31" s="656" t="str">
        <v/>
      </c>
      <c r="N31" s="656" t="str">
        <v/>
      </c>
      <c r="O31" s="656" t="str">
        <v/>
      </c>
      <c r="P31" s="656" t="str">
        <v/>
      </c>
      <c r="Q31" s="657" t="str">
        <v/>
      </c>
      <c r="R31" s="658" t="str">
        <v/>
      </c>
      <c r="S31" s="655" t="str">
        <v/>
      </c>
      <c r="T31" s="658" t="str">
        <v/>
      </c>
      <c r="U31" s="665" t="str">
        <f>IF(AND(QueryFlag="ON",NOT(ISNA(I31))),_xll.BondOutstanding(I31),"")</f>
        <v/>
      </c>
    </row>
    <row r="32" spans="6:21">
      <c r="F32" s="908" t="s">
        <v>704</v>
      </c>
      <c r="G32" s="917">
        <f>IF(LEN($F32)&gt;1,_xll.BondInfo($F32,$G$4),"")</f>
        <v>44409</v>
      </c>
      <c r="I32" s="898" t="s">
        <v>704</v>
      </c>
      <c r="J32" s="655" t="str">
        <f t="array" ref="J32:T32">IF(AND(QueryFlag="ON",NOT(ISNA(I32))),_xll.BondInfo(I32,$J$4:$T$4),"")</f>
        <v/>
      </c>
      <c r="K32" s="656" t="str">
        <v/>
      </c>
      <c r="L32" s="654" t="str">
        <v/>
      </c>
      <c r="M32" s="656" t="str">
        <v/>
      </c>
      <c r="N32" s="656" t="str">
        <v/>
      </c>
      <c r="O32" s="656" t="str">
        <v/>
      </c>
      <c r="P32" s="656" t="str">
        <v/>
      </c>
      <c r="Q32" s="657" t="str">
        <v/>
      </c>
      <c r="R32" s="658" t="str">
        <v/>
      </c>
      <c r="S32" s="655" t="str">
        <v/>
      </c>
      <c r="T32" s="658" t="str">
        <v/>
      </c>
      <c r="U32" s="665" t="str">
        <f>IF(AND(QueryFlag="ON",NOT(ISNA(I32))),_xll.BondOutstanding(I32),"")</f>
        <v/>
      </c>
    </row>
    <row r="33" spans="6:21">
      <c r="F33" s="908" t="s">
        <v>705</v>
      </c>
      <c r="G33" s="917">
        <f>IF(LEN($F33)&gt;1,_xll.BondInfo($F33,$G$4),"")</f>
        <v>44440</v>
      </c>
      <c r="I33" s="898" t="s">
        <v>705</v>
      </c>
      <c r="J33" s="655" t="str">
        <f t="array" ref="J33:T33">IF(AND(QueryFlag="ON",NOT(ISNA(I33))),_xll.BondInfo(I33,$J$4:$T$4),"")</f>
        <v/>
      </c>
      <c r="K33" s="656" t="str">
        <v/>
      </c>
      <c r="L33" s="654" t="str">
        <v/>
      </c>
      <c r="M33" s="656" t="str">
        <v/>
      </c>
      <c r="N33" s="656" t="str">
        <v/>
      </c>
      <c r="O33" s="656" t="str">
        <v/>
      </c>
      <c r="P33" s="656" t="str">
        <v/>
      </c>
      <c r="Q33" s="657" t="str">
        <v/>
      </c>
      <c r="R33" s="658" t="str">
        <v/>
      </c>
      <c r="S33" s="655" t="str">
        <v/>
      </c>
      <c r="T33" s="658" t="str">
        <v/>
      </c>
      <c r="U33" s="665" t="str">
        <f>IF(AND(QueryFlag="ON",NOT(ISNA(I33))),_xll.BondOutstanding(I33),"")</f>
        <v/>
      </c>
    </row>
    <row r="34" spans="6:21">
      <c r="F34" s="908" t="s">
        <v>883</v>
      </c>
      <c r="G34" s="917">
        <f>IF(LEN($F34)&gt;1,_xll.BondInfo($F34,$G$4),"")</f>
        <v>44501</v>
      </c>
      <c r="I34" s="898" t="s">
        <v>883</v>
      </c>
      <c r="J34" s="655" t="str">
        <f t="array" ref="J34:T34">IF(AND(QueryFlag="ON",NOT(ISNA(I34))),_xll.BondInfo(I34,$J$4:$T$4),"")</f>
        <v/>
      </c>
      <c r="K34" s="656" t="str">
        <v/>
      </c>
      <c r="L34" s="654" t="str">
        <v/>
      </c>
      <c r="M34" s="656" t="str">
        <v/>
      </c>
      <c r="N34" s="656" t="str">
        <v/>
      </c>
      <c r="O34" s="656" t="str">
        <v/>
      </c>
      <c r="P34" s="656" t="str">
        <v/>
      </c>
      <c r="Q34" s="657" t="str">
        <v/>
      </c>
      <c r="R34" s="658" t="str">
        <v/>
      </c>
      <c r="S34" s="655" t="str">
        <v/>
      </c>
      <c r="T34" s="658" t="str">
        <v/>
      </c>
      <c r="U34" s="665" t="str">
        <f>IF(AND(QueryFlag="ON",NOT(ISNA(I34))),_xll.BondOutstanding(I34),"")</f>
        <v/>
      </c>
    </row>
    <row r="35" spans="6:21">
      <c r="F35" s="908" t="s">
        <v>589</v>
      </c>
      <c r="G35" s="917">
        <f>IF(LEN($F35)&gt;1,_xll.BondInfo($F35,$G$4),"")</f>
        <v>44545</v>
      </c>
      <c r="I35" s="898" t="s">
        <v>589</v>
      </c>
      <c r="J35" s="655" t="str">
        <f t="array" ref="J35:T35">IF(AND(QueryFlag="ON",NOT(ISNA(I35))),_xll.BondInfo(I35,$J$4:$T$4),"")</f>
        <v/>
      </c>
      <c r="K35" s="656" t="str">
        <v/>
      </c>
      <c r="L35" s="654" t="str">
        <v/>
      </c>
      <c r="M35" s="656" t="str">
        <v/>
      </c>
      <c r="N35" s="656" t="str">
        <v/>
      </c>
      <c r="O35" s="656" t="str">
        <v/>
      </c>
      <c r="P35" s="656" t="str">
        <v/>
      </c>
      <c r="Q35" s="657" t="str">
        <v/>
      </c>
      <c r="R35" s="658" t="str">
        <v/>
      </c>
      <c r="S35" s="655" t="str">
        <v/>
      </c>
      <c r="T35" s="658" t="str">
        <v/>
      </c>
      <c r="U35" s="665" t="str">
        <f>IF(AND(QueryFlag="ON",NOT(ISNA(I35))),_xll.BondOutstanding(I35),"")</f>
        <v/>
      </c>
    </row>
    <row r="36" spans="6:21">
      <c r="F36" s="908" t="s">
        <v>706</v>
      </c>
      <c r="G36" s="917">
        <f>IF(LEN($F36)&gt;1,_xll.BondInfo($F36,$G$4),"")</f>
        <v>44621</v>
      </c>
      <c r="I36" s="898" t="s">
        <v>706</v>
      </c>
      <c r="J36" s="655" t="str">
        <f t="array" ref="J36:T36">IF(AND(QueryFlag="ON",NOT(ISNA(I36))),_xll.BondInfo(I36,$J$4:$T$4),"")</f>
        <v/>
      </c>
      <c r="K36" s="656" t="str">
        <v/>
      </c>
      <c r="L36" s="654" t="str">
        <v/>
      </c>
      <c r="M36" s="656" t="str">
        <v/>
      </c>
      <c r="N36" s="656" t="str">
        <v/>
      </c>
      <c r="O36" s="656" t="str">
        <v/>
      </c>
      <c r="P36" s="656" t="str">
        <v/>
      </c>
      <c r="Q36" s="657" t="str">
        <v/>
      </c>
      <c r="R36" s="658" t="str">
        <v/>
      </c>
      <c r="S36" s="655" t="str">
        <v/>
      </c>
      <c r="T36" s="658" t="str">
        <v/>
      </c>
      <c r="U36" s="665" t="str">
        <f>IF(AND(QueryFlag="ON",NOT(ISNA(I36))),_xll.BondOutstanding(I36),"")</f>
        <v/>
      </c>
    </row>
    <row r="37" spans="6:21">
      <c r="F37" s="908" t="s">
        <v>980</v>
      </c>
      <c r="G37" s="917">
        <f>IF(LEN($F37)&gt;1,_xll.BondInfo($F37,$G$4),"")</f>
        <v>44652</v>
      </c>
      <c r="I37" s="898" t="s">
        <v>980</v>
      </c>
      <c r="J37" s="655" t="str">
        <f t="array" ref="J37:T37">IF(AND(QueryFlag="ON",NOT(ISNA(I37))),_xll.BondInfo(I37,$J$4:$T$4),"")</f>
        <v/>
      </c>
      <c r="K37" s="656" t="str">
        <v/>
      </c>
      <c r="L37" s="654" t="str">
        <v/>
      </c>
      <c r="M37" s="656" t="str">
        <v/>
      </c>
      <c r="N37" s="656" t="str">
        <v/>
      </c>
      <c r="O37" s="656" t="str">
        <v/>
      </c>
      <c r="P37" s="656" t="str">
        <v/>
      </c>
      <c r="Q37" s="657" t="str">
        <v/>
      </c>
      <c r="R37" s="658" t="str">
        <v/>
      </c>
      <c r="S37" s="655" t="str">
        <v/>
      </c>
      <c r="T37" s="658" t="str">
        <v/>
      </c>
      <c r="U37" s="665" t="str">
        <f>IF(AND(QueryFlag="ON",NOT(ISNA(I37))),_xll.BondOutstanding(I37),"")</f>
        <v/>
      </c>
    </row>
    <row r="38" spans="6:21">
      <c r="F38" s="908" t="s">
        <v>591</v>
      </c>
      <c r="G38" s="917">
        <f>IF(LEN($F38)&gt;1,_xll.BondInfo($F38,$G$4),"")</f>
        <v>44666</v>
      </c>
      <c r="I38" s="898" t="s">
        <v>591</v>
      </c>
      <c r="J38" s="655" t="str">
        <f t="array" ref="J38:T38">IF(AND(QueryFlag="ON",NOT(ISNA(I38))),_xll.BondInfo(I38,$J$4:$T$4),"")</f>
        <v/>
      </c>
      <c r="K38" s="656" t="str">
        <v/>
      </c>
      <c r="L38" s="654" t="str">
        <v/>
      </c>
      <c r="M38" s="656" t="str">
        <v/>
      </c>
      <c r="N38" s="656" t="str">
        <v/>
      </c>
      <c r="O38" s="656" t="str">
        <v/>
      </c>
      <c r="P38" s="656" t="str">
        <v/>
      </c>
      <c r="Q38" s="657" t="str">
        <v/>
      </c>
      <c r="R38" s="658" t="str">
        <v/>
      </c>
      <c r="S38" s="655" t="str">
        <v/>
      </c>
      <c r="T38" s="658" t="str">
        <v/>
      </c>
      <c r="U38" s="665" t="str">
        <f>IF(AND(QueryFlag="ON",NOT(ISNA(I38))),_xll.BondOutstanding(I38),"")</f>
        <v/>
      </c>
    </row>
    <row r="39" spans="6:21">
      <c r="F39" s="908" t="s">
        <v>1631</v>
      </c>
      <c r="G39" s="917">
        <f>IF(LEN($F39)&gt;1,_xll.BondInfo($F39,$G$4),"")</f>
        <v>44774</v>
      </c>
      <c r="I39" s="898" t="s">
        <v>1631</v>
      </c>
      <c r="J39" s="655" t="str">
        <f t="array" ref="J39:T39">IF(AND(QueryFlag="ON",NOT(ISNA(I39))),_xll.BondInfo(I39,$J$4:$T$4),"")</f>
        <v/>
      </c>
      <c r="K39" s="656" t="str">
        <v/>
      </c>
      <c r="L39" s="654" t="str">
        <v/>
      </c>
      <c r="M39" s="656" t="str">
        <v/>
      </c>
      <c r="N39" s="656" t="str">
        <v/>
      </c>
      <c r="O39" s="656" t="str">
        <v/>
      </c>
      <c r="P39" s="656" t="str">
        <v/>
      </c>
      <c r="Q39" s="657" t="str">
        <v/>
      </c>
      <c r="R39" s="658" t="str">
        <v/>
      </c>
      <c r="S39" s="655" t="str">
        <v/>
      </c>
      <c r="T39" s="658" t="str">
        <v/>
      </c>
      <c r="U39" s="665" t="str">
        <f>IF(AND(QueryFlag="ON",NOT(ISNA(I39))),_xll.BondOutstanding(I39),"")</f>
        <v/>
      </c>
    </row>
    <row r="40" spans="6:21">
      <c r="F40" s="908" t="s">
        <v>707</v>
      </c>
      <c r="G40" s="917">
        <f>IF(LEN($F40)&gt;1,_xll.BondInfo($F40,$G$4),"")</f>
        <v>44805</v>
      </c>
      <c r="I40" s="898" t="s">
        <v>707</v>
      </c>
      <c r="J40" s="655" t="str">
        <f t="array" ref="J40:T40">IF(AND(QueryFlag="ON",NOT(ISNA(I40))),_xll.BondInfo(I40,$J$4:$T$4),"")</f>
        <v/>
      </c>
      <c r="K40" s="656" t="str">
        <v/>
      </c>
      <c r="L40" s="654" t="str">
        <v/>
      </c>
      <c r="M40" s="656" t="str">
        <v/>
      </c>
      <c r="N40" s="656" t="str">
        <v/>
      </c>
      <c r="O40" s="656" t="str">
        <v/>
      </c>
      <c r="P40" s="656" t="str">
        <v/>
      </c>
      <c r="Q40" s="657" t="str">
        <v/>
      </c>
      <c r="R40" s="658" t="str">
        <v/>
      </c>
      <c r="S40" s="655" t="str">
        <v/>
      </c>
      <c r="T40" s="658" t="str">
        <v/>
      </c>
      <c r="U40" s="665" t="str">
        <f>IF(AND(QueryFlag="ON",NOT(ISNA(I40))),_xll.BondOutstanding(I40),"")</f>
        <v/>
      </c>
    </row>
    <row r="41" spans="6:21">
      <c r="F41" s="908" t="s">
        <v>820</v>
      </c>
      <c r="G41" s="917">
        <f>IF(LEN($F41)&gt;1,_xll.BondInfo($F41,$G$4),"")</f>
        <v>44819</v>
      </c>
      <c r="I41" s="898" t="s">
        <v>820</v>
      </c>
      <c r="J41" s="655" t="str">
        <f t="array" ref="J41:T41">IF(AND(QueryFlag="ON",NOT(ISNA(I41))),_xll.BondInfo(I41,$J$4:$T$4),"")</f>
        <v/>
      </c>
      <c r="K41" s="656" t="str">
        <v/>
      </c>
      <c r="L41" s="654" t="str">
        <v/>
      </c>
      <c r="M41" s="656" t="str">
        <v/>
      </c>
      <c r="N41" s="656" t="str">
        <v/>
      </c>
      <c r="O41" s="656" t="str">
        <v/>
      </c>
      <c r="P41" s="656" t="str">
        <v/>
      </c>
      <c r="Q41" s="657" t="str">
        <v/>
      </c>
      <c r="R41" s="658" t="str">
        <v/>
      </c>
      <c r="S41" s="655" t="str">
        <v/>
      </c>
      <c r="T41" s="658" t="str">
        <v/>
      </c>
      <c r="U41" s="665" t="str">
        <f>IF(AND(QueryFlag="ON",NOT(ISNA(I41))),_xll.BondOutstanding(I41),"")</f>
        <v/>
      </c>
    </row>
    <row r="42" spans="6:21">
      <c r="F42" s="908" t="s">
        <v>708</v>
      </c>
      <c r="G42" s="917">
        <f>IF(LEN($F42)&gt;1,_xll.BondInfo($F42,$G$4),"")</f>
        <v>44866</v>
      </c>
      <c r="I42" s="898" t="s">
        <v>708</v>
      </c>
      <c r="J42" s="655" t="str">
        <f t="array" ref="J42:T42">IF(AND(QueryFlag="ON",NOT(ISNA(I42))),_xll.BondInfo(I42,$J$4:$T$4),"")</f>
        <v/>
      </c>
      <c r="K42" s="656" t="str">
        <v/>
      </c>
      <c r="L42" s="654" t="str">
        <v/>
      </c>
      <c r="M42" s="656" t="str">
        <v/>
      </c>
      <c r="N42" s="656" t="str">
        <v/>
      </c>
      <c r="O42" s="656" t="str">
        <v/>
      </c>
      <c r="P42" s="656" t="str">
        <v/>
      </c>
      <c r="Q42" s="657" t="str">
        <v/>
      </c>
      <c r="R42" s="658" t="str">
        <v/>
      </c>
      <c r="S42" s="655" t="str">
        <v/>
      </c>
      <c r="T42" s="658" t="str">
        <v/>
      </c>
      <c r="U42" s="665" t="str">
        <f>IF(AND(QueryFlag="ON",NOT(ISNA(I42))),_xll.BondOutstanding(I42),"")</f>
        <v/>
      </c>
    </row>
    <row r="43" spans="6:21">
      <c r="F43" s="908" t="s">
        <v>1739</v>
      </c>
      <c r="G43" s="917">
        <f>IF(LEN($F43)&gt;1,_xll.BondInfo($F43,$G$4),"")</f>
        <v>44986</v>
      </c>
      <c r="I43" s="898" t="s">
        <v>1739</v>
      </c>
      <c r="J43" s="655" t="str">
        <f t="array" ref="J43:T43">IF(AND(QueryFlag="ON",NOT(ISNA(I43))),_xll.BondInfo(I43,$J$4:$T$4),"")</f>
        <v/>
      </c>
      <c r="K43" s="656" t="str">
        <v/>
      </c>
      <c r="L43" s="654" t="str">
        <v/>
      </c>
      <c r="M43" s="656" t="str">
        <v/>
      </c>
      <c r="N43" s="656" t="str">
        <v/>
      </c>
      <c r="O43" s="656" t="str">
        <v/>
      </c>
      <c r="P43" s="656" t="str">
        <v/>
      </c>
      <c r="Q43" s="657" t="str">
        <v/>
      </c>
      <c r="R43" s="658" t="str">
        <v/>
      </c>
      <c r="S43" s="655" t="str">
        <v/>
      </c>
      <c r="T43" s="658" t="str">
        <v/>
      </c>
      <c r="U43" s="665" t="str">
        <f>IF(AND(QueryFlag="ON",NOT(ISNA(I43))),_xll.BondOutstanding(I43),"")</f>
        <v/>
      </c>
    </row>
    <row r="44" spans="6:21">
      <c r="F44" s="908" t="s">
        <v>821</v>
      </c>
      <c r="G44" s="917">
        <f>IF(LEN($F44)&gt;1,_xll.BondInfo($F44,$G$4),"")</f>
        <v>45000</v>
      </c>
      <c r="I44" s="898" t="s">
        <v>821</v>
      </c>
      <c r="J44" s="655" t="str">
        <f t="array" ref="J44:T44">IF(AND(QueryFlag="ON",NOT(ISNA(I44))),_xll.BondInfo(I44,$J$4:$T$4),"")</f>
        <v/>
      </c>
      <c r="K44" s="656" t="str">
        <v/>
      </c>
      <c r="L44" s="654" t="str">
        <v/>
      </c>
      <c r="M44" s="656" t="str">
        <v/>
      </c>
      <c r="N44" s="656" t="str">
        <v/>
      </c>
      <c r="O44" s="656" t="str">
        <v/>
      </c>
      <c r="P44" s="656" t="str">
        <v/>
      </c>
      <c r="Q44" s="657" t="str">
        <v/>
      </c>
      <c r="R44" s="658" t="str">
        <v/>
      </c>
      <c r="S44" s="655" t="str">
        <v/>
      </c>
      <c r="T44" s="658" t="str">
        <v/>
      </c>
      <c r="U44" s="665" t="str">
        <f>IF(AND(QueryFlag="ON",NOT(ISNA(I44))),_xll.BondOutstanding(I44),"")</f>
        <v/>
      </c>
    </row>
    <row r="45" spans="6:21">
      <c r="F45" s="908" t="s">
        <v>709</v>
      </c>
      <c r="G45" s="917">
        <f>IF(LEN($F45)&gt;1,_xll.BondInfo($F45,$G$4),"")</f>
        <v>45047</v>
      </c>
      <c r="I45" s="898" t="s">
        <v>709</v>
      </c>
      <c r="J45" s="655" t="str">
        <f t="array" ref="J45:T45">IF(AND(QueryFlag="ON",NOT(ISNA(I45))),_xll.BondInfo(I45,$J$4:$T$4),"")</f>
        <v/>
      </c>
      <c r="K45" s="656" t="str">
        <v/>
      </c>
      <c r="L45" s="654" t="str">
        <v/>
      </c>
      <c r="M45" s="656" t="str">
        <v/>
      </c>
      <c r="N45" s="656" t="str">
        <v/>
      </c>
      <c r="O45" s="656" t="str">
        <v/>
      </c>
      <c r="P45" s="656" t="str">
        <v/>
      </c>
      <c r="Q45" s="657" t="str">
        <v/>
      </c>
      <c r="R45" s="658" t="str">
        <v/>
      </c>
      <c r="S45" s="655" t="str">
        <v/>
      </c>
      <c r="T45" s="658" t="str">
        <v/>
      </c>
      <c r="U45" s="665" t="str">
        <f>IF(AND(QueryFlag="ON",NOT(ISNA(I45))),_xll.BondOutstanding(I45),"")</f>
        <v/>
      </c>
    </row>
    <row r="46" spans="6:21">
      <c r="F46" s="908" t="s">
        <v>710</v>
      </c>
      <c r="G46" s="917">
        <f>IF(LEN($F46)&gt;1,_xll.BondInfo($F46,$G$4),"")</f>
        <v>45139</v>
      </c>
      <c r="I46" s="898" t="s">
        <v>710</v>
      </c>
      <c r="J46" s="655" t="str">
        <f t="array" ref="J46:T46">IF(AND(QueryFlag="ON",NOT(ISNA(I46))),_xll.BondInfo(I46,$J$4:$T$4),"")</f>
        <v/>
      </c>
      <c r="K46" s="656" t="str">
        <v/>
      </c>
      <c r="L46" s="654" t="str">
        <v/>
      </c>
      <c r="M46" s="656" t="str">
        <v/>
      </c>
      <c r="N46" s="656" t="str">
        <v/>
      </c>
      <c r="O46" s="656" t="str">
        <v/>
      </c>
      <c r="P46" s="656" t="str">
        <v/>
      </c>
      <c r="Q46" s="657" t="str">
        <v/>
      </c>
      <c r="R46" s="658" t="str">
        <v/>
      </c>
      <c r="S46" s="655" t="str">
        <v/>
      </c>
      <c r="T46" s="658" t="str">
        <v/>
      </c>
      <c r="U46" s="665" t="str">
        <f>IF(AND(QueryFlag="ON",NOT(ISNA(I46))),_xll.BondOutstanding(I46),"")</f>
        <v/>
      </c>
    </row>
    <row r="47" spans="6:21">
      <c r="F47" s="908" t="s">
        <v>882</v>
      </c>
      <c r="G47" s="917">
        <f>IF(LEN($F47)&gt;1,_xll.BondInfo($F47,$G$4),"")</f>
        <v>45214</v>
      </c>
      <c r="I47" s="898" t="s">
        <v>882</v>
      </c>
      <c r="J47" s="655" t="str">
        <f t="array" ref="J47:T47">IF(AND(QueryFlag="ON",NOT(ISNA(I47))),_xll.BondInfo(I47,$J$4:$T$4),"")</f>
        <v/>
      </c>
      <c r="K47" s="656" t="str">
        <v/>
      </c>
      <c r="L47" s="654" t="str">
        <v/>
      </c>
      <c r="M47" s="656" t="str">
        <v/>
      </c>
      <c r="N47" s="656" t="str">
        <v/>
      </c>
      <c r="O47" s="656" t="str">
        <v/>
      </c>
      <c r="P47" s="656" t="str">
        <v/>
      </c>
      <c r="Q47" s="657" t="str">
        <v/>
      </c>
      <c r="R47" s="658" t="str">
        <v/>
      </c>
      <c r="S47" s="655" t="str">
        <v/>
      </c>
      <c r="T47" s="658" t="str">
        <v/>
      </c>
      <c r="U47" s="665" t="str">
        <f>IF(AND(QueryFlag="ON",NOT(ISNA(I47))),_xll.BondOutstanding(I47),"")</f>
        <v/>
      </c>
    </row>
    <row r="48" spans="6:21">
      <c r="F48" s="908" t="s">
        <v>711</v>
      </c>
      <c r="G48" s="917">
        <f>IF(LEN($F48)&gt;1,_xll.BondInfo($F48,$G$4),"")</f>
        <v>45231</v>
      </c>
      <c r="I48" s="898" t="s">
        <v>711</v>
      </c>
      <c r="J48" s="655" t="str">
        <f t="array" ref="J48:T48">IF(AND(QueryFlag="ON",NOT(ISNA(I48))),_xll.BondInfo(I48,$J$4:$T$4),"")</f>
        <v/>
      </c>
      <c r="K48" s="656" t="str">
        <v/>
      </c>
      <c r="L48" s="654" t="str">
        <v/>
      </c>
      <c r="M48" s="656" t="str">
        <v/>
      </c>
      <c r="N48" s="656" t="str">
        <v/>
      </c>
      <c r="O48" s="656" t="str">
        <v/>
      </c>
      <c r="P48" s="656" t="str">
        <v/>
      </c>
      <c r="Q48" s="657" t="str">
        <v/>
      </c>
      <c r="R48" s="658" t="str">
        <v/>
      </c>
      <c r="S48" s="655" t="str">
        <v/>
      </c>
      <c r="T48" s="658" t="str">
        <v/>
      </c>
      <c r="U48" s="665" t="str">
        <f>IF(AND(QueryFlag="ON",NOT(ISNA(I48))),_xll.BondOutstanding(I48),"")</f>
        <v/>
      </c>
    </row>
    <row r="49" spans="6:21">
      <c r="F49" s="908" t="s">
        <v>712</v>
      </c>
      <c r="G49" s="917">
        <f>IF(LEN($F49)&gt;1,_xll.BondInfo($F49,$G$4),"")</f>
        <v>45352</v>
      </c>
      <c r="I49" s="898" t="s">
        <v>712</v>
      </c>
      <c r="J49" s="655" t="str">
        <f t="array" ref="J49:T49">IF(AND(QueryFlag="ON",NOT(ISNA(I49))),_xll.BondInfo(I49,$J$4:$T$4),"")</f>
        <v/>
      </c>
      <c r="K49" s="656" t="str">
        <v/>
      </c>
      <c r="L49" s="654" t="str">
        <v/>
      </c>
      <c r="M49" s="656" t="str">
        <v/>
      </c>
      <c r="N49" s="656" t="str">
        <v/>
      </c>
      <c r="O49" s="656" t="str">
        <v/>
      </c>
      <c r="P49" s="656" t="str">
        <v/>
      </c>
      <c r="Q49" s="657" t="str">
        <v/>
      </c>
      <c r="R49" s="658" t="str">
        <v/>
      </c>
      <c r="S49" s="655" t="str">
        <v/>
      </c>
      <c r="T49" s="658" t="str">
        <v/>
      </c>
      <c r="U49" s="665" t="str">
        <f>IF(AND(QueryFlag="ON",NOT(ISNA(I49))),_xll.BondOutstanding(I49),"")</f>
        <v/>
      </c>
    </row>
    <row r="50" spans="6:21">
      <c r="F50" s="908" t="s">
        <v>932</v>
      </c>
      <c r="G50" s="917">
        <f>IF(LEN($F50)&gt;1,_xll.BondInfo($F50,$G$4),"")</f>
        <v>45427</v>
      </c>
      <c r="I50" s="898" t="s">
        <v>932</v>
      </c>
      <c r="J50" s="655" t="str">
        <f t="array" ref="J50:T50">IF(AND(QueryFlag="ON",NOT(ISNA(I50))),_xll.BondInfo(I50,$J$4:$T$4),"")</f>
        <v/>
      </c>
      <c r="K50" s="656" t="str">
        <v/>
      </c>
      <c r="L50" s="654" t="str">
        <v/>
      </c>
      <c r="M50" s="656" t="str">
        <v/>
      </c>
      <c r="N50" s="656" t="str">
        <v/>
      </c>
      <c r="O50" s="656" t="str">
        <v/>
      </c>
      <c r="P50" s="656" t="str">
        <v/>
      </c>
      <c r="Q50" s="657" t="str">
        <v/>
      </c>
      <c r="R50" s="658" t="str">
        <v/>
      </c>
      <c r="S50" s="655" t="str">
        <v/>
      </c>
      <c r="T50" s="658" t="str">
        <v/>
      </c>
      <c r="U50" s="665" t="str">
        <f>IF(AND(QueryFlag="ON",NOT(ISNA(I50))),_xll.BondOutstanding(I50),"")</f>
        <v/>
      </c>
    </row>
    <row r="51" spans="6:21">
      <c r="F51" s="908" t="s">
        <v>423</v>
      </c>
      <c r="G51" s="917">
        <f>IF(LEN($F51)&gt;1,_xll.BondInfo($F51,$G$4),"")</f>
        <v>45536</v>
      </c>
      <c r="I51" s="898" t="s">
        <v>423</v>
      </c>
      <c r="J51" s="655" t="str">
        <f t="array" ref="J51:T51">IF(AND(QueryFlag="ON",NOT(ISNA(I51))),_xll.BondInfo(I51,$J$4:$T$4),"")</f>
        <v/>
      </c>
      <c r="K51" s="656" t="str">
        <v/>
      </c>
      <c r="L51" s="654" t="str">
        <v/>
      </c>
      <c r="M51" s="656" t="str">
        <v/>
      </c>
      <c r="N51" s="656" t="str">
        <v/>
      </c>
      <c r="O51" s="656" t="str">
        <v/>
      </c>
      <c r="P51" s="656" t="str">
        <v/>
      </c>
      <c r="Q51" s="657" t="str">
        <v/>
      </c>
      <c r="R51" s="658" t="str">
        <v/>
      </c>
      <c r="S51" s="655" t="str">
        <v/>
      </c>
      <c r="T51" s="658" t="str">
        <v/>
      </c>
      <c r="U51" s="665" t="str">
        <f>IF(AND(QueryFlag="ON",NOT(ISNA(I51))),_xll.BondOutstanding(I51),"")</f>
        <v/>
      </c>
    </row>
    <row r="52" spans="6:21">
      <c r="F52" s="908" t="s">
        <v>994</v>
      </c>
      <c r="G52" s="917">
        <f>IF(LEN($F52)&gt;1,_xll.BondInfo($F52,$G$4),"")</f>
        <v>45611</v>
      </c>
      <c r="I52" s="898" t="s">
        <v>994</v>
      </c>
      <c r="J52" s="655" t="str">
        <f t="array" ref="J52:T52">IF(AND(QueryFlag="ON",NOT(ISNA(I52))),_xll.BondInfo(I52,$J$4:$T$4),"")</f>
        <v/>
      </c>
      <c r="K52" s="656" t="str">
        <v/>
      </c>
      <c r="L52" s="654" t="str">
        <v/>
      </c>
      <c r="M52" s="656" t="str">
        <v/>
      </c>
      <c r="N52" s="656" t="str">
        <v/>
      </c>
      <c r="O52" s="656" t="str">
        <v/>
      </c>
      <c r="P52" s="656" t="str">
        <v/>
      </c>
      <c r="Q52" s="657" t="str">
        <v/>
      </c>
      <c r="R52" s="658" t="str">
        <v/>
      </c>
      <c r="S52" s="655" t="str">
        <v/>
      </c>
      <c r="T52" s="658" t="str">
        <v/>
      </c>
      <c r="U52" s="665" t="str">
        <f>IF(AND(QueryFlag="ON",NOT(ISNA(I52))),_xll.BondOutstanding(I52),"")</f>
        <v/>
      </c>
    </row>
    <row r="53" spans="6:21">
      <c r="F53" s="908" t="s">
        <v>424</v>
      </c>
      <c r="G53" s="917">
        <f>IF(LEN($F53)&gt;1,_xll.BondInfo($F53,$G$4),"")</f>
        <v>45627</v>
      </c>
      <c r="I53" s="898" t="s">
        <v>424</v>
      </c>
      <c r="J53" s="655" t="str">
        <f t="array" ref="J53:T53">IF(AND(QueryFlag="ON",NOT(ISNA(I53))),_xll.BondInfo(I53,$J$4:$T$4),"")</f>
        <v/>
      </c>
      <c r="K53" s="656" t="str">
        <v/>
      </c>
      <c r="L53" s="654" t="str">
        <v/>
      </c>
      <c r="M53" s="656" t="str">
        <v/>
      </c>
      <c r="N53" s="656" t="str">
        <v/>
      </c>
      <c r="O53" s="656" t="str">
        <v/>
      </c>
      <c r="P53" s="656" t="str">
        <v/>
      </c>
      <c r="Q53" s="657" t="str">
        <v/>
      </c>
      <c r="R53" s="658" t="str">
        <v/>
      </c>
      <c r="S53" s="655" t="str">
        <v/>
      </c>
      <c r="T53" s="658" t="str">
        <v/>
      </c>
      <c r="U53" s="665" t="str">
        <f>IF(AND(QueryFlag="ON",NOT(ISNA(I53))),_xll.BondOutstanding(I53),"")</f>
        <v/>
      </c>
    </row>
    <row r="54" spans="6:21">
      <c r="F54" s="908" t="s">
        <v>713</v>
      </c>
      <c r="G54" s="917">
        <f>IF(LEN($F54)&gt;1,_xll.BondInfo($F54,$G$4),"")</f>
        <v>45717</v>
      </c>
      <c r="I54" s="898" t="s">
        <v>713</v>
      </c>
      <c r="J54" s="655" t="str">
        <f t="array" ref="J54:T54">IF(AND(QueryFlag="ON",NOT(ISNA(I54))),_xll.BondInfo(I54,$J$4:$T$4),"")</f>
        <v/>
      </c>
      <c r="K54" s="656" t="str">
        <v/>
      </c>
      <c r="L54" s="654" t="str">
        <v/>
      </c>
      <c r="M54" s="656" t="str">
        <v/>
      </c>
      <c r="N54" s="656" t="str">
        <v/>
      </c>
      <c r="O54" s="656" t="str">
        <v/>
      </c>
      <c r="P54" s="656" t="str">
        <v/>
      </c>
      <c r="Q54" s="657" t="str">
        <v/>
      </c>
      <c r="R54" s="658" t="str">
        <v/>
      </c>
      <c r="S54" s="655" t="str">
        <v/>
      </c>
      <c r="T54" s="658" t="str">
        <v/>
      </c>
      <c r="U54" s="665" t="str">
        <f>IF(AND(QueryFlag="ON",NOT(ISNA(I54))),_xll.BondOutstanding(I54),"")</f>
        <v/>
      </c>
    </row>
    <row r="55" spans="6:21">
      <c r="F55" s="908" t="s">
        <v>2073</v>
      </c>
      <c r="G55" s="917">
        <f>IF(LEN($F55)&gt;1,_xll.BondInfo($F55,$G$4),"")</f>
        <v>45792</v>
      </c>
      <c r="I55" s="898" t="s">
        <v>2073</v>
      </c>
      <c r="J55" s="655" t="str">
        <f t="array" ref="J55:T55">IF(AND(QueryFlag="ON",NOT(ISNA(I55))),_xll.BondInfo(I55,$J$4:$T$4),"")</f>
        <v/>
      </c>
      <c r="K55" s="656" t="str">
        <v/>
      </c>
      <c r="L55" s="654" t="str">
        <v/>
      </c>
      <c r="M55" s="656" t="str">
        <v/>
      </c>
      <c r="N55" s="656" t="str">
        <v/>
      </c>
      <c r="O55" s="656" t="str">
        <v/>
      </c>
      <c r="P55" s="656" t="str">
        <v/>
      </c>
      <c r="Q55" s="657" t="str">
        <v/>
      </c>
      <c r="R55" s="658" t="str">
        <v/>
      </c>
      <c r="S55" s="655" t="str">
        <v/>
      </c>
      <c r="T55" s="658" t="str">
        <v/>
      </c>
      <c r="U55" s="665" t="str">
        <f>IF(AND(QueryFlag="ON",NOT(ISNA(I55))),_xll.BondOutstanding(I55),"")</f>
        <v/>
      </c>
    </row>
    <row r="56" spans="6:21">
      <c r="F56" s="908" t="s">
        <v>593</v>
      </c>
      <c r="G56" s="917">
        <f>IF(LEN($F56)&gt;1,_xll.BondInfo($F56,$G$4),"")</f>
        <v>45809</v>
      </c>
      <c r="I56" s="898" t="s">
        <v>593</v>
      </c>
      <c r="J56" s="655" t="str">
        <f t="array" ref="J56:T56">IF(AND(QueryFlag="ON",NOT(ISNA(I56))),_xll.BondInfo(I56,$J$4:$T$4),"")</f>
        <v/>
      </c>
      <c r="K56" s="656" t="str">
        <v/>
      </c>
      <c r="L56" s="654" t="str">
        <v/>
      </c>
      <c r="M56" s="656" t="str">
        <v/>
      </c>
      <c r="N56" s="656" t="str">
        <v/>
      </c>
      <c r="O56" s="656" t="str">
        <v/>
      </c>
      <c r="P56" s="656" t="str">
        <v/>
      </c>
      <c r="Q56" s="657" t="str">
        <v/>
      </c>
      <c r="R56" s="658" t="str">
        <v/>
      </c>
      <c r="S56" s="655" t="str">
        <v/>
      </c>
      <c r="T56" s="658" t="str">
        <v/>
      </c>
      <c r="U56" s="665" t="str">
        <f>IF(AND(QueryFlag="ON",NOT(ISNA(I56))),_xll.BondOutstanding(I56),"")</f>
        <v/>
      </c>
    </row>
    <row r="57" spans="6:21">
      <c r="F57" s="908" t="s">
        <v>749</v>
      </c>
      <c r="G57" s="917">
        <f>IF(LEN($F57)&gt;1,_xll.BondInfo($F57,$G$4),"")</f>
        <v>45992</v>
      </c>
      <c r="I57" s="898" t="s">
        <v>749</v>
      </c>
      <c r="J57" s="655" t="str">
        <f t="array" ref="J57:T57">IF(AND(QueryFlag="ON",NOT(ISNA(I57))),_xll.BondInfo(I57,$J$4:$T$4),"")</f>
        <v/>
      </c>
      <c r="K57" s="656" t="str">
        <v/>
      </c>
      <c r="L57" s="654" t="str">
        <v/>
      </c>
      <c r="M57" s="656" t="str">
        <v/>
      </c>
      <c r="N57" s="656" t="str">
        <v/>
      </c>
      <c r="O57" s="656" t="str">
        <v/>
      </c>
      <c r="P57" s="656" t="str">
        <v/>
      </c>
      <c r="Q57" s="657" t="str">
        <v/>
      </c>
      <c r="R57" s="658" t="str">
        <v/>
      </c>
      <c r="S57" s="655" t="str">
        <v/>
      </c>
      <c r="T57" s="658" t="str">
        <v/>
      </c>
      <c r="U57" s="665" t="str">
        <f>IF(AND(QueryFlag="ON",NOT(ISNA(I57))),_xll.BondOutstanding(I57),"")</f>
        <v/>
      </c>
    </row>
    <row r="58" spans="6:21">
      <c r="F58" s="908" t="s">
        <v>714</v>
      </c>
      <c r="G58" s="917">
        <f>IF(LEN($F58)&gt;1,_xll.BondInfo($F58,$G$4),"")</f>
        <v>46082</v>
      </c>
      <c r="I58" s="898" t="s">
        <v>714</v>
      </c>
      <c r="J58" s="655" t="str">
        <f t="array" ref="J58:T58">IF(AND(QueryFlag="ON",NOT(ISNA(I58))),_xll.BondInfo(I58,$J$4:$T$4),"")</f>
        <v/>
      </c>
      <c r="K58" s="656" t="str">
        <v/>
      </c>
      <c r="L58" s="654" t="str">
        <v/>
      </c>
      <c r="M58" s="656" t="str">
        <v/>
      </c>
      <c r="N58" s="656" t="str">
        <v/>
      </c>
      <c r="O58" s="656" t="str">
        <v/>
      </c>
      <c r="P58" s="656" t="str">
        <v/>
      </c>
      <c r="Q58" s="657" t="str">
        <v/>
      </c>
      <c r="R58" s="658" t="str">
        <v/>
      </c>
      <c r="S58" s="655" t="str">
        <v/>
      </c>
      <c r="T58" s="658" t="str">
        <v/>
      </c>
      <c r="U58" s="665" t="str">
        <f>IF(AND(QueryFlag="ON",NOT(ISNA(I58))),_xll.BondOutstanding(I58),"")</f>
        <v/>
      </c>
    </row>
    <row r="59" spans="6:21">
      <c r="F59" s="908" t="s">
        <v>800</v>
      </c>
      <c r="G59" s="917">
        <f>IF(LEN($F59)&gt;1,_xll.BondInfo($F59,$G$4),"")</f>
        <v>46174</v>
      </c>
      <c r="I59" s="898" t="s">
        <v>800</v>
      </c>
      <c r="J59" s="655" t="str">
        <f t="array" ref="J59:T59">IF(AND(QueryFlag="ON",NOT(ISNA(I59))),_xll.BondInfo(I59,$J$4:$T$4),"")</f>
        <v/>
      </c>
      <c r="K59" s="656" t="str">
        <v/>
      </c>
      <c r="L59" s="654" t="str">
        <v/>
      </c>
      <c r="M59" s="656" t="str">
        <v/>
      </c>
      <c r="N59" s="656" t="str">
        <v/>
      </c>
      <c r="O59" s="656" t="str">
        <v/>
      </c>
      <c r="P59" s="656" t="str">
        <v/>
      </c>
      <c r="Q59" s="657" t="str">
        <v/>
      </c>
      <c r="R59" s="658" t="str">
        <v/>
      </c>
      <c r="S59" s="655" t="str">
        <v/>
      </c>
      <c r="T59" s="658" t="str">
        <v/>
      </c>
      <c r="U59" s="665" t="str">
        <f>IF(AND(QueryFlag="ON",NOT(ISNA(I59))),_xll.BondOutstanding(I59),"")</f>
        <v/>
      </c>
    </row>
    <row r="60" spans="6:21">
      <c r="F60" s="908" t="s">
        <v>715</v>
      </c>
      <c r="G60" s="917">
        <f>IF(LEN($F60)&gt;1,_xll.BondInfo($F60,$G$4),"")</f>
        <v>46327</v>
      </c>
      <c r="I60" s="898" t="s">
        <v>715</v>
      </c>
      <c r="J60" s="655" t="str">
        <f t="array" ref="J60:T60">IF(AND(QueryFlag="ON",NOT(ISNA(I60))),_xll.BondInfo(I60,$J$4:$T$4),"")</f>
        <v/>
      </c>
      <c r="K60" s="656" t="str">
        <v/>
      </c>
      <c r="L60" s="654" t="str">
        <v/>
      </c>
      <c r="M60" s="656" t="str">
        <v/>
      </c>
      <c r="N60" s="656" t="str">
        <v/>
      </c>
      <c r="O60" s="656" t="str">
        <v/>
      </c>
      <c r="P60" s="656" t="str">
        <v/>
      </c>
      <c r="Q60" s="657" t="str">
        <v/>
      </c>
      <c r="R60" s="658" t="str">
        <v/>
      </c>
      <c r="S60" s="655" t="str">
        <v/>
      </c>
      <c r="T60" s="658" t="str">
        <v/>
      </c>
      <c r="U60" s="665" t="str">
        <f>IF(AND(QueryFlag="ON",NOT(ISNA(I60))),_xll.BondOutstanding(I60),"")</f>
        <v/>
      </c>
    </row>
    <row r="61" spans="6:21">
      <c r="F61" s="908" t="s">
        <v>872</v>
      </c>
      <c r="G61" s="917">
        <f>IF(LEN($F61)&gt;1,_xll.BondInfo($F61,$G$4),"")</f>
        <v>46357</v>
      </c>
      <c r="I61" s="898" t="s">
        <v>872</v>
      </c>
      <c r="J61" s="655" t="str">
        <f t="array" ref="J61:T61">IF(AND(QueryFlag="ON",NOT(ISNA(I61))),_xll.BondInfo(I61,$J$4:$T$4),"")</f>
        <v/>
      </c>
      <c r="K61" s="656" t="str">
        <v/>
      </c>
      <c r="L61" s="654" t="str">
        <v/>
      </c>
      <c r="M61" s="656" t="str">
        <v/>
      </c>
      <c r="N61" s="656" t="str">
        <v/>
      </c>
      <c r="O61" s="656" t="str">
        <v/>
      </c>
      <c r="P61" s="656" t="str">
        <v/>
      </c>
      <c r="Q61" s="657" t="str">
        <v/>
      </c>
      <c r="R61" s="658" t="str">
        <v/>
      </c>
      <c r="S61" s="655" t="str">
        <v/>
      </c>
      <c r="T61" s="658" t="str">
        <v/>
      </c>
      <c r="U61" s="665" t="str">
        <f>IF(AND(QueryFlag="ON",NOT(ISNA(I61))),_xll.BondOutstanding(I61),"")</f>
        <v/>
      </c>
    </row>
    <row r="62" spans="6:21">
      <c r="F62" s="908" t="s">
        <v>900</v>
      </c>
      <c r="G62" s="917">
        <f>IF(LEN($F62)&gt;1,_xll.BondInfo($F62,$G$4),"")</f>
        <v>46539</v>
      </c>
      <c r="I62" s="898" t="s">
        <v>900</v>
      </c>
      <c r="J62" s="655" t="str">
        <f t="array" ref="J62:T62">IF(AND(QueryFlag="ON",NOT(ISNA(I62))),_xll.BondInfo(I62,$J$4:$T$4),"")</f>
        <v/>
      </c>
      <c r="K62" s="656" t="str">
        <v/>
      </c>
      <c r="L62" s="654" t="str">
        <v/>
      </c>
      <c r="M62" s="656" t="str">
        <v/>
      </c>
      <c r="N62" s="656" t="str">
        <v/>
      </c>
      <c r="O62" s="656" t="str">
        <v/>
      </c>
      <c r="P62" s="656" t="str">
        <v/>
      </c>
      <c r="Q62" s="657" t="str">
        <v/>
      </c>
      <c r="R62" s="658" t="str">
        <v/>
      </c>
      <c r="S62" s="655" t="str">
        <v/>
      </c>
      <c r="T62" s="658" t="str">
        <v/>
      </c>
      <c r="U62" s="665" t="str">
        <f>IF(AND(QueryFlag="ON",NOT(ISNA(I62))),_xll.BondOutstanding(I62),"")</f>
        <v/>
      </c>
    </row>
    <row r="63" spans="6:21">
      <c r="F63" s="908" t="s">
        <v>982</v>
      </c>
      <c r="G63" s="917">
        <f>IF(LEN($F63)&gt;1,_xll.BondInfo($F63,$G$4),"")</f>
        <v>46600</v>
      </c>
      <c r="I63" s="898" t="s">
        <v>982</v>
      </c>
      <c r="J63" s="655" t="str">
        <f t="array" ref="J63:T63">IF(AND(QueryFlag="ON",NOT(ISNA(I63))),_xll.BondInfo(I63,$J$4:$T$4),"")</f>
        <v/>
      </c>
      <c r="K63" s="656" t="str">
        <v/>
      </c>
      <c r="L63" s="654" t="str">
        <v/>
      </c>
      <c r="M63" s="656" t="str">
        <v/>
      </c>
      <c r="N63" s="656" t="str">
        <v/>
      </c>
      <c r="O63" s="656" t="str">
        <v/>
      </c>
      <c r="P63" s="656" t="str">
        <v/>
      </c>
      <c r="Q63" s="657" t="str">
        <v/>
      </c>
      <c r="R63" s="658" t="str">
        <v/>
      </c>
      <c r="S63" s="655" t="str">
        <v/>
      </c>
      <c r="T63" s="658" t="str">
        <v/>
      </c>
      <c r="U63" s="665" t="str">
        <f>IF(AND(QueryFlag="ON",NOT(ISNA(I63))),_xll.BondOutstanding(I63),"")</f>
        <v/>
      </c>
    </row>
    <row r="64" spans="6:21">
      <c r="F64" s="908" t="s">
        <v>716</v>
      </c>
      <c r="G64" s="917">
        <f>IF(LEN($F64)&gt;1,_xll.BondInfo($F64,$G$4),"")</f>
        <v>46692</v>
      </c>
      <c r="I64" s="898" t="s">
        <v>716</v>
      </c>
      <c r="J64" s="655" t="str">
        <f t="array" ref="J64:T64">IF(AND(QueryFlag="ON",NOT(ISNA(I64))),_xll.BondInfo(I64,$J$4:$T$4),"")</f>
        <v/>
      </c>
      <c r="K64" s="656" t="str">
        <v/>
      </c>
      <c r="L64" s="654" t="str">
        <v/>
      </c>
      <c r="M64" s="656" t="str">
        <v/>
      </c>
      <c r="N64" s="656" t="str">
        <v/>
      </c>
      <c r="O64" s="656" t="str">
        <v/>
      </c>
      <c r="P64" s="656" t="str">
        <v/>
      </c>
      <c r="Q64" s="657" t="str">
        <v/>
      </c>
      <c r="R64" s="658" t="str">
        <v/>
      </c>
      <c r="S64" s="655" t="str">
        <v/>
      </c>
      <c r="T64" s="658" t="str">
        <v/>
      </c>
      <c r="U64" s="665" t="str">
        <f>IF(AND(QueryFlag="ON",NOT(ISNA(I64))),_xll.BondOutstanding(I64),"")</f>
        <v/>
      </c>
    </row>
    <row r="65" spans="6:21">
      <c r="F65" s="908" t="s">
        <v>1713</v>
      </c>
      <c r="G65" s="917">
        <f>IF(LEN($F65)&gt;1,_xll.BondInfo($F65,$G$4),"")</f>
        <v>46784</v>
      </c>
      <c r="I65" s="898" t="s">
        <v>1713</v>
      </c>
      <c r="J65" s="655" t="str">
        <f t="array" ref="J65:T65">IF(AND(QueryFlag="ON",NOT(ISNA(I65))),_xll.BondInfo(I65,$J$4:$T$4),"")</f>
        <v/>
      </c>
      <c r="K65" s="656" t="str">
        <v/>
      </c>
      <c r="L65" s="654" t="str">
        <v/>
      </c>
      <c r="M65" s="656" t="str">
        <v/>
      </c>
      <c r="N65" s="656" t="str">
        <v/>
      </c>
      <c r="O65" s="656" t="str">
        <v/>
      </c>
      <c r="P65" s="656" t="str">
        <v/>
      </c>
      <c r="Q65" s="657" t="str">
        <v/>
      </c>
      <c r="R65" s="658" t="str">
        <v/>
      </c>
      <c r="S65" s="655" t="str">
        <v/>
      </c>
      <c r="T65" s="658" t="str">
        <v/>
      </c>
      <c r="U65" s="665" t="str">
        <f>IF(AND(QueryFlag="ON",NOT(ISNA(I65))),_xll.BondOutstanding(I65),"")</f>
        <v/>
      </c>
    </row>
    <row r="66" spans="6:21">
      <c r="F66" s="908" t="s">
        <v>717</v>
      </c>
      <c r="G66" s="917">
        <f>IF(LEN($F66)&gt;1,_xll.BondInfo($F66,$G$4),"")</f>
        <v>46997</v>
      </c>
      <c r="I66" s="898" t="s">
        <v>717</v>
      </c>
      <c r="J66" s="655" t="str">
        <f t="array" ref="J66:T66">IF(AND(QueryFlag="ON",NOT(ISNA(I66))),_xll.BondInfo(I66,$J$4:$T$4),"")</f>
        <v/>
      </c>
      <c r="K66" s="656" t="str">
        <v/>
      </c>
      <c r="L66" s="654" t="str">
        <v/>
      </c>
      <c r="M66" s="656" t="str">
        <v/>
      </c>
      <c r="N66" s="656" t="str">
        <v/>
      </c>
      <c r="O66" s="656" t="str">
        <v/>
      </c>
      <c r="P66" s="656" t="str">
        <v/>
      </c>
      <c r="Q66" s="657" t="str">
        <v/>
      </c>
      <c r="R66" s="658" t="str">
        <v/>
      </c>
      <c r="S66" s="655" t="str">
        <v/>
      </c>
      <c r="T66" s="658" t="str">
        <v/>
      </c>
      <c r="U66" s="665" t="str">
        <f>IF(AND(QueryFlag="ON",NOT(ISNA(I66))),_xll.BondOutstanding(I66),"")</f>
        <v/>
      </c>
    </row>
    <row r="67" spans="6:21">
      <c r="F67" s="908" t="s">
        <v>718</v>
      </c>
      <c r="G67" s="917">
        <f>IF(LEN($F67)&gt;1,_xll.BondInfo($F67,$G$4),"")</f>
        <v>47423</v>
      </c>
      <c r="I67" s="898" t="s">
        <v>718</v>
      </c>
      <c r="J67" s="655" t="str">
        <f t="array" ref="J67:T67">IF(AND(QueryFlag="ON",NOT(ISNA(I67))),_xll.BondInfo(I67,$J$4:$T$4),"")</f>
        <v/>
      </c>
      <c r="K67" s="656" t="str">
        <v/>
      </c>
      <c r="L67" s="654" t="str">
        <v/>
      </c>
      <c r="M67" s="656" t="str">
        <v/>
      </c>
      <c r="N67" s="656" t="str">
        <v/>
      </c>
      <c r="O67" s="656" t="str">
        <v/>
      </c>
      <c r="P67" s="656" t="str">
        <v/>
      </c>
      <c r="Q67" s="657" t="str">
        <v/>
      </c>
      <c r="R67" s="658" t="str">
        <v/>
      </c>
      <c r="S67" s="655" t="str">
        <v/>
      </c>
      <c r="T67" s="658" t="str">
        <v/>
      </c>
      <c r="U67" s="665" t="str">
        <f>IF(AND(QueryFlag="ON",NOT(ISNA(I67))),_xll.BondOutstanding(I67),"")</f>
        <v/>
      </c>
    </row>
    <row r="68" spans="6:21">
      <c r="F68" s="908" t="s">
        <v>425</v>
      </c>
      <c r="G68" s="917">
        <f>IF(LEN($F68)&gt;1,_xll.BondInfo($F68,$G$4),"")</f>
        <v>47543</v>
      </c>
      <c r="I68" s="898" t="s">
        <v>425</v>
      </c>
      <c r="J68" s="655" t="str">
        <f t="array" ref="J68:T68">IF(AND(QueryFlag="ON",NOT(ISNA(I68))),_xll.BondInfo(I68,$J$4:$T$4),"")</f>
        <v/>
      </c>
      <c r="K68" s="656" t="str">
        <v/>
      </c>
      <c r="L68" s="654" t="str">
        <v/>
      </c>
      <c r="M68" s="656" t="str">
        <v/>
      </c>
      <c r="N68" s="656" t="str">
        <v/>
      </c>
      <c r="O68" s="656" t="str">
        <v/>
      </c>
      <c r="P68" s="656" t="str">
        <v/>
      </c>
      <c r="Q68" s="657" t="str">
        <v/>
      </c>
      <c r="R68" s="658" t="str">
        <v/>
      </c>
      <c r="S68" s="655" t="str">
        <v/>
      </c>
      <c r="T68" s="658" t="str">
        <v/>
      </c>
      <c r="U68" s="665" t="str">
        <f>IF(AND(QueryFlag="ON",NOT(ISNA(I68))),_xll.BondOutstanding(I68),"")</f>
        <v/>
      </c>
    </row>
    <row r="69" spans="6:21">
      <c r="F69" s="908" t="s">
        <v>719</v>
      </c>
      <c r="G69" s="917">
        <f>IF(LEN($F69)&gt;1,_xll.BondInfo($F69,$G$4),"")</f>
        <v>47969</v>
      </c>
      <c r="I69" s="898" t="s">
        <v>719</v>
      </c>
      <c r="J69" s="655" t="str">
        <f t="array" ref="J69:T69">IF(AND(QueryFlag="ON",NOT(ISNA(I69))),_xll.BondInfo(I69,$J$4:$T$4),"")</f>
        <v/>
      </c>
      <c r="K69" s="656" t="str">
        <v/>
      </c>
      <c r="L69" s="654" t="str">
        <v/>
      </c>
      <c r="M69" s="656" t="str">
        <v/>
      </c>
      <c r="N69" s="656" t="str">
        <v/>
      </c>
      <c r="O69" s="656" t="str">
        <v/>
      </c>
      <c r="P69" s="656" t="str">
        <v/>
      </c>
      <c r="Q69" s="657" t="str">
        <v/>
      </c>
      <c r="R69" s="658" t="str">
        <v/>
      </c>
      <c r="S69" s="655" t="str">
        <v/>
      </c>
      <c r="T69" s="658" t="str">
        <v/>
      </c>
      <c r="U69" s="665" t="str">
        <f>IF(AND(QueryFlag="ON",NOT(ISNA(I69))),_xll.BondOutstanding(I69),"")</f>
        <v/>
      </c>
    </row>
    <row r="70" spans="6:21">
      <c r="F70" s="908" t="s">
        <v>824</v>
      </c>
      <c r="G70" s="917">
        <f>IF(LEN($F70)&gt;1,_xll.BondInfo($F70,$G$4),"")</f>
        <v>48274</v>
      </c>
      <c r="I70" s="898" t="s">
        <v>824</v>
      </c>
      <c r="J70" s="655" t="str">
        <f t="array" ref="J70:T70">IF(AND(QueryFlag="ON",NOT(ISNA(I70))),_xll.BondInfo(I70,$J$4:$T$4),"")</f>
        <v/>
      </c>
      <c r="K70" s="656" t="str">
        <v/>
      </c>
      <c r="L70" s="654" t="str">
        <v/>
      </c>
      <c r="M70" s="656" t="str">
        <v/>
      </c>
      <c r="N70" s="656" t="str">
        <v/>
      </c>
      <c r="O70" s="656" t="str">
        <v/>
      </c>
      <c r="P70" s="656" t="str">
        <v/>
      </c>
      <c r="Q70" s="657" t="str">
        <v/>
      </c>
      <c r="R70" s="658" t="str">
        <v/>
      </c>
      <c r="S70" s="655" t="str">
        <v/>
      </c>
      <c r="T70" s="658" t="str">
        <v/>
      </c>
      <c r="U70" s="665" t="str">
        <f>IF(AND(QueryFlag="ON",NOT(ISNA(I70))),_xll.BondOutstanding(I70),"")</f>
        <v/>
      </c>
    </row>
    <row r="71" spans="6:21">
      <c r="F71" s="908" t="s">
        <v>720</v>
      </c>
      <c r="G71" s="917">
        <f>IF(LEN($F71)&gt;1,_xll.BondInfo($F71,$G$4),"")</f>
        <v>48611</v>
      </c>
      <c r="I71" s="898" t="s">
        <v>720</v>
      </c>
      <c r="J71" s="655" t="str">
        <f t="array" ref="J71:T71">IF(AND(QueryFlag="ON",NOT(ISNA(I71))),_xll.BondInfo(I71,$J$4:$T$4),"")</f>
        <v/>
      </c>
      <c r="K71" s="656" t="str">
        <v/>
      </c>
      <c r="L71" s="654" t="str">
        <v/>
      </c>
      <c r="M71" s="656" t="str">
        <v/>
      </c>
      <c r="N71" s="656" t="str">
        <v/>
      </c>
      <c r="O71" s="656" t="str">
        <v/>
      </c>
      <c r="P71" s="656" t="str">
        <v/>
      </c>
      <c r="Q71" s="657" t="str">
        <v/>
      </c>
      <c r="R71" s="658" t="str">
        <v/>
      </c>
      <c r="S71" s="655" t="str">
        <v/>
      </c>
      <c r="T71" s="658" t="str">
        <v/>
      </c>
      <c r="U71" s="665" t="str">
        <f>IF(AND(QueryFlag="ON",NOT(ISNA(I71))),_xll.BondOutstanding(I71),"")</f>
        <v/>
      </c>
    </row>
    <row r="72" spans="6:21">
      <c r="F72" s="908" t="s">
        <v>945</v>
      </c>
      <c r="G72" s="917">
        <f>IF(LEN($F72)&gt;1,_xll.BondInfo($F72,$G$4),"")</f>
        <v>48823</v>
      </c>
      <c r="I72" s="898" t="s">
        <v>945</v>
      </c>
      <c r="J72" s="655" t="str">
        <f t="array" ref="J72:T72">IF(AND(QueryFlag="ON",NOT(ISNA(I72))),_xll.BondInfo(I72,$J$4:$T$4),"")</f>
        <v/>
      </c>
      <c r="K72" s="656" t="str">
        <v/>
      </c>
      <c r="L72" s="654" t="str">
        <v/>
      </c>
      <c r="M72" s="656" t="str">
        <v/>
      </c>
      <c r="N72" s="656" t="str">
        <v/>
      </c>
      <c r="O72" s="656" t="str">
        <v/>
      </c>
      <c r="P72" s="656" t="str">
        <v/>
      </c>
      <c r="Q72" s="657" t="str">
        <v/>
      </c>
      <c r="R72" s="658" t="str">
        <v/>
      </c>
      <c r="S72" s="655" t="str">
        <v/>
      </c>
      <c r="T72" s="658" t="str">
        <v/>
      </c>
      <c r="U72" s="665" t="str">
        <f>IF(AND(QueryFlag="ON",NOT(ISNA(I72))),_xll.BondOutstanding(I72),"")</f>
        <v/>
      </c>
    </row>
    <row r="73" spans="6:21">
      <c r="F73" s="908" t="s">
        <v>721</v>
      </c>
      <c r="G73" s="917">
        <f>IF(LEN($F73)&gt;1,_xll.BondInfo($F73,$G$4),"")</f>
        <v>49157</v>
      </c>
      <c r="I73" s="898" t="s">
        <v>721</v>
      </c>
      <c r="J73" s="655" t="str">
        <f t="array" ref="J73:T73">IF(AND(QueryFlag="ON",NOT(ISNA(I73))),_xll.BondInfo(I73,$J$4:$T$4),"")</f>
        <v/>
      </c>
      <c r="K73" s="656" t="str">
        <v/>
      </c>
      <c r="L73" s="654" t="str">
        <v/>
      </c>
      <c r="M73" s="656" t="str">
        <v/>
      </c>
      <c r="N73" s="656" t="str">
        <v/>
      </c>
      <c r="O73" s="656" t="str">
        <v/>
      </c>
      <c r="P73" s="656" t="str">
        <v/>
      </c>
      <c r="Q73" s="657" t="str">
        <v/>
      </c>
      <c r="R73" s="658" t="str">
        <v/>
      </c>
      <c r="S73" s="655" t="str">
        <v/>
      </c>
      <c r="T73" s="658" t="str">
        <v/>
      </c>
      <c r="U73" s="665" t="str">
        <f>IF(AND(QueryFlag="ON",NOT(ISNA(I73))),_xll.BondOutstanding(I73),"")</f>
        <v/>
      </c>
    </row>
    <row r="74" spans="6:21">
      <c r="F74" s="908" t="s">
        <v>868</v>
      </c>
      <c r="G74" s="917">
        <f>IF(LEN($F74)&gt;1,_xll.BondInfo($F74,$G$4),"")</f>
        <v>49919</v>
      </c>
      <c r="I74" s="898" t="s">
        <v>868</v>
      </c>
      <c r="J74" s="655" t="str">
        <f t="array" ref="J74:T74">IF(AND(QueryFlag="ON",NOT(ISNA(I74))),_xll.BondInfo(I74,$J$4:$T$4),"")</f>
        <v/>
      </c>
      <c r="K74" s="656" t="str">
        <v/>
      </c>
      <c r="L74" s="654" t="str">
        <v/>
      </c>
      <c r="M74" s="656" t="str">
        <v/>
      </c>
      <c r="N74" s="656" t="str">
        <v/>
      </c>
      <c r="O74" s="656" t="str">
        <v/>
      </c>
      <c r="P74" s="656" t="str">
        <v/>
      </c>
      <c r="Q74" s="657" t="str">
        <v/>
      </c>
      <c r="R74" s="658" t="str">
        <v/>
      </c>
      <c r="S74" s="655" t="str">
        <v/>
      </c>
      <c r="T74" s="658" t="str">
        <v/>
      </c>
      <c r="U74" s="665" t="str">
        <f>IF(AND(QueryFlag="ON",NOT(ISNA(I74))),_xll.BondOutstanding(I74),"")</f>
        <v/>
      </c>
    </row>
    <row r="75" spans="6:21">
      <c r="F75" s="908" t="s">
        <v>722</v>
      </c>
      <c r="G75" s="917">
        <f>IF(LEN($F75)&gt;1,_xll.BondInfo($F75,$G$4),"")</f>
        <v>50072</v>
      </c>
      <c r="I75" s="898" t="s">
        <v>722</v>
      </c>
      <c r="J75" s="655" t="str">
        <f t="array" ref="J75:T75">IF(AND(QueryFlag="ON",NOT(ISNA(I75))),_xll.BondInfo(I75,$J$4:$T$4),"")</f>
        <v/>
      </c>
      <c r="K75" s="656" t="str">
        <v/>
      </c>
      <c r="L75" s="654" t="str">
        <v/>
      </c>
      <c r="M75" s="656" t="str">
        <v/>
      </c>
      <c r="N75" s="656" t="str">
        <v/>
      </c>
      <c r="O75" s="656" t="str">
        <v/>
      </c>
      <c r="P75" s="656" t="str">
        <v/>
      </c>
      <c r="Q75" s="657" t="str">
        <v/>
      </c>
      <c r="R75" s="658" t="str">
        <v/>
      </c>
      <c r="S75" s="655" t="str">
        <v/>
      </c>
      <c r="T75" s="658" t="str">
        <v/>
      </c>
      <c r="U75" s="665" t="str">
        <f>IF(AND(QueryFlag="ON",NOT(ISNA(I75))),_xll.BondOutstanding(I75),"")</f>
        <v/>
      </c>
    </row>
    <row r="76" spans="6:21">
      <c r="F76" s="908" t="s">
        <v>1704</v>
      </c>
      <c r="G76" s="917">
        <f>IF(LEN($F76)&gt;1,_xll.BondInfo($F76,$G$4),"")</f>
        <v>50649</v>
      </c>
      <c r="I76" s="898" t="s">
        <v>1704</v>
      </c>
      <c r="J76" s="655" t="str">
        <f t="array" ref="J76:T76">IF(AND(QueryFlag="ON",NOT(ISNA(I76))),_xll.BondInfo(I76,$J$4:$T$4),"")</f>
        <v/>
      </c>
      <c r="K76" s="656" t="str">
        <v/>
      </c>
      <c r="L76" s="654" t="str">
        <v/>
      </c>
      <c r="M76" s="656" t="str">
        <v/>
      </c>
      <c r="N76" s="656" t="str">
        <v/>
      </c>
      <c r="O76" s="656" t="str">
        <v/>
      </c>
      <c r="P76" s="656" t="str">
        <v/>
      </c>
      <c r="Q76" s="657" t="str">
        <v/>
      </c>
      <c r="R76" s="658" t="str">
        <v/>
      </c>
      <c r="S76" s="655" t="str">
        <v/>
      </c>
      <c r="T76" s="658" t="str">
        <v/>
      </c>
      <c r="U76" s="665" t="str">
        <f>IF(AND(QueryFlag="ON",NOT(ISNA(I76))),_xll.BondOutstanding(I76),"")</f>
        <v/>
      </c>
    </row>
    <row r="77" spans="6:21">
      <c r="F77" s="908" t="s">
        <v>723</v>
      </c>
      <c r="G77" s="917">
        <f>IF(LEN($F77)&gt;1,_xll.BondInfo($F77,$G$4),"")</f>
        <v>50983</v>
      </c>
      <c r="I77" s="898" t="s">
        <v>723</v>
      </c>
      <c r="J77" s="655" t="str">
        <f t="array" ref="J77:T77">IF(AND(QueryFlag="ON",NOT(ISNA(I77))),_xll.BondInfo(I77,$J$4:$T$4),"")</f>
        <v/>
      </c>
      <c r="K77" s="656" t="str">
        <v/>
      </c>
      <c r="L77" s="654" t="str">
        <v/>
      </c>
      <c r="M77" s="656" t="str">
        <v/>
      </c>
      <c r="N77" s="656" t="str">
        <v/>
      </c>
      <c r="O77" s="656" t="str">
        <v/>
      </c>
      <c r="P77" s="656" t="str">
        <v/>
      </c>
      <c r="Q77" s="657" t="str">
        <v/>
      </c>
      <c r="R77" s="658" t="str">
        <v/>
      </c>
      <c r="S77" s="655" t="str">
        <v/>
      </c>
      <c r="T77" s="658" t="str">
        <v/>
      </c>
      <c r="U77" s="665" t="str">
        <f>IF(AND(QueryFlag="ON",NOT(ISNA(I77))),_xll.BondOutstanding(I77),"")</f>
        <v/>
      </c>
    </row>
    <row r="78" spans="6:21">
      <c r="F78" s="908" t="s">
        <v>724</v>
      </c>
      <c r="G78" s="917">
        <f>IF(LEN($F78)&gt;1,_xll.BondInfo($F78,$G$4),"")</f>
        <v>51380</v>
      </c>
      <c r="I78" s="898" t="s">
        <v>724</v>
      </c>
      <c r="J78" s="655" t="str">
        <f t="array" ref="J78:T78">IF(AND(QueryFlag="ON",NOT(ISNA(I78))),_xll.BondInfo(I78,$J$4:$T$4),"")</f>
        <v/>
      </c>
      <c r="K78" s="656" t="str">
        <v/>
      </c>
      <c r="L78" s="654" t="str">
        <v/>
      </c>
      <c r="M78" s="656" t="str">
        <v/>
      </c>
      <c r="N78" s="656" t="str">
        <v/>
      </c>
      <c r="O78" s="656" t="str">
        <v/>
      </c>
      <c r="P78" s="656" t="str">
        <v/>
      </c>
      <c r="Q78" s="657" t="str">
        <v/>
      </c>
      <c r="R78" s="658" t="str">
        <v/>
      </c>
      <c r="S78" s="655" t="str">
        <v/>
      </c>
      <c r="T78" s="658" t="str">
        <v/>
      </c>
      <c r="U78" s="665" t="str">
        <f>IF(AND(QueryFlag="ON",NOT(ISNA(I78))),_xll.BondOutstanding(I78),"")</f>
        <v/>
      </c>
    </row>
    <row r="79" spans="6:21">
      <c r="F79" s="908" t="s">
        <v>725</v>
      </c>
      <c r="G79" s="917">
        <f>IF(LEN($F79)&gt;1,_xll.BondInfo($F79,$G$4),"")</f>
        <v>52841</v>
      </c>
      <c r="I79" s="898" t="s">
        <v>725</v>
      </c>
      <c r="J79" s="655" t="str">
        <f t="array" ref="J79:T79">IF(AND(QueryFlag="ON",NOT(ISNA(I79))),_xll.BondInfo(I79,$J$4:$T$4),"")</f>
        <v/>
      </c>
      <c r="K79" s="656" t="str">
        <v/>
      </c>
      <c r="L79" s="654" t="str">
        <v/>
      </c>
      <c r="M79" s="656" t="str">
        <v/>
      </c>
      <c r="N79" s="656" t="str">
        <v/>
      </c>
      <c r="O79" s="656" t="str">
        <v/>
      </c>
      <c r="P79" s="656" t="str">
        <v/>
      </c>
      <c r="Q79" s="657" t="str">
        <v/>
      </c>
      <c r="R79" s="658" t="str">
        <v/>
      </c>
      <c r="S79" s="655" t="str">
        <v/>
      </c>
      <c r="T79" s="658" t="str">
        <v/>
      </c>
      <c r="U79" s="665" t="str">
        <f>IF(AND(QueryFlag="ON",NOT(ISNA(I79))),_xll.BondOutstanding(I79),"")</f>
        <v/>
      </c>
    </row>
    <row r="80" spans="6:21">
      <c r="F80" s="908" t="s">
        <v>596</v>
      </c>
      <c r="G80" s="917">
        <f>IF(LEN($F80)&gt;1,_xll.BondInfo($F80,$G$4),"")</f>
        <v>53571</v>
      </c>
      <c r="I80" s="898" t="s">
        <v>596</v>
      </c>
      <c r="J80" s="655" t="str">
        <f t="array" ref="J80:T80">IF(AND(QueryFlag="ON",NOT(ISNA(I80))),_xll.BondInfo(I80,$J$4:$T$4),"")</f>
        <v/>
      </c>
      <c r="K80" s="656" t="str">
        <v/>
      </c>
      <c r="L80" s="654" t="str">
        <v/>
      </c>
      <c r="M80" s="656" t="str">
        <v/>
      </c>
      <c r="N80" s="656" t="str">
        <v/>
      </c>
      <c r="O80" s="656" t="str">
        <v/>
      </c>
      <c r="P80" s="656" t="str">
        <v/>
      </c>
      <c r="Q80" s="657" t="str">
        <v/>
      </c>
      <c r="R80" s="658" t="str">
        <v/>
      </c>
      <c r="S80" s="655" t="str">
        <v/>
      </c>
      <c r="T80" s="658" t="str">
        <v/>
      </c>
      <c r="U80" s="665" t="str">
        <f>IF(AND(QueryFlag="ON",NOT(ISNA(I80))),_xll.BondOutstanding(I80),"")</f>
        <v/>
      </c>
    </row>
    <row r="81" spans="6:21">
      <c r="F81" s="908" t="s">
        <v>798</v>
      </c>
      <c r="G81" s="917">
        <f>IF(LEN($F81)&gt;1,_xll.BondInfo($F81,$G$4),"")</f>
        <v>53752</v>
      </c>
      <c r="I81" s="898" t="s">
        <v>798</v>
      </c>
      <c r="J81" s="655" t="str">
        <f t="array" ref="J81:T81">IF(AND(QueryFlag="ON",NOT(ISNA(I81))),_xll.BondInfo(I81,$J$4:$T$4),"")</f>
        <v/>
      </c>
      <c r="K81" s="656" t="str">
        <v/>
      </c>
      <c r="L81" s="654" t="str">
        <v/>
      </c>
      <c r="M81" s="656" t="str">
        <v/>
      </c>
      <c r="N81" s="656" t="str">
        <v/>
      </c>
      <c r="O81" s="656" t="str">
        <v/>
      </c>
      <c r="P81" s="656" t="str">
        <v/>
      </c>
      <c r="Q81" s="657" t="str">
        <v/>
      </c>
      <c r="R81" s="658" t="str">
        <v/>
      </c>
      <c r="S81" s="655" t="str">
        <v/>
      </c>
      <c r="T81" s="658" t="str">
        <v/>
      </c>
      <c r="U81" s="665" t="str">
        <f>IF(AND(QueryFlag="ON",NOT(ISNA(I81))),_xll.BondOutstanding(I81),"")</f>
        <v/>
      </c>
    </row>
    <row r="82" spans="6:21">
      <c r="F82" s="908" t="s">
        <v>1632</v>
      </c>
      <c r="G82" s="917">
        <f>IF(LEN($F82)&gt;1,_xll.BondInfo($F82,$G$4),"")</f>
        <v>54118</v>
      </c>
      <c r="I82" s="898" t="s">
        <v>1632</v>
      </c>
      <c r="J82" s="655" t="str">
        <f t="array" ref="J82:T82">IF(AND(QueryFlag="ON",NOT(ISNA(I82))),_xll.BondInfo(I82,$J$4:$T$4),"")</f>
        <v/>
      </c>
      <c r="K82" s="656" t="str">
        <v/>
      </c>
      <c r="L82" s="654" t="str">
        <v/>
      </c>
      <c r="M82" s="656" t="str">
        <v/>
      </c>
      <c r="N82" s="656" t="str">
        <v/>
      </c>
      <c r="O82" s="656" t="str">
        <v/>
      </c>
      <c r="P82" s="656" t="str">
        <v/>
      </c>
      <c r="Q82" s="657" t="str">
        <v/>
      </c>
      <c r="R82" s="658" t="str">
        <v/>
      </c>
      <c r="S82" s="655" t="str">
        <v/>
      </c>
      <c r="T82" s="658" t="str">
        <v/>
      </c>
      <c r="U82" s="665" t="str">
        <f>IF(AND(QueryFlag="ON",NOT(ISNA(I82))),_xll.BondOutstanding(I82),"")</f>
        <v/>
      </c>
    </row>
    <row r="83" spans="6:21">
      <c r="F83" s="908" t="s">
        <v>981</v>
      </c>
      <c r="G83" s="917">
        <f>IF(LEN($F83)&gt;1,_xll.BondInfo($F83,$G$4),"")</f>
        <v>61057</v>
      </c>
      <c r="I83" s="898" t="s">
        <v>981</v>
      </c>
      <c r="J83" s="655" t="str">
        <f t="array" ref="J83:T83">IF(AND(QueryFlag="ON",NOT(ISNA(I83))),_xll.BondInfo(I83,$J$4:$T$4),"")</f>
        <v/>
      </c>
      <c r="K83" s="656" t="str">
        <v/>
      </c>
      <c r="L83" s="654" t="str">
        <v/>
      </c>
      <c r="M83" s="656" t="str">
        <v/>
      </c>
      <c r="N83" s="656" t="str">
        <v/>
      </c>
      <c r="O83" s="656" t="str">
        <v/>
      </c>
      <c r="P83" s="656" t="str">
        <v/>
      </c>
      <c r="Q83" s="657" t="str">
        <v/>
      </c>
      <c r="R83" s="658" t="str">
        <v/>
      </c>
      <c r="S83" s="655" t="str">
        <v/>
      </c>
      <c r="T83" s="658" t="str">
        <v/>
      </c>
      <c r="U83" s="665" t="str">
        <f>IF(AND(QueryFlag="ON",NOT(ISNA(I83))),_xll.BondOutstanding(I83),"")</f>
        <v/>
      </c>
    </row>
    <row r="84" spans="6:21">
      <c r="F84" s="908" t="s">
        <v>818</v>
      </c>
      <c r="G84" s="917">
        <f>IF(LEN($F84)&gt;1,_xll.BondInfo($F84,$G$4),"")</f>
        <v>43220</v>
      </c>
      <c r="I84" s="898" t="s">
        <v>818</v>
      </c>
      <c r="J84" s="655" t="str">
        <f t="array" ref="J84:T84">IF(AND(QueryFlag="ON",NOT(ISNA(I84))),_xll.BondInfo(I84,$J$4:$T$4),"")</f>
        <v/>
      </c>
      <c r="K84" s="656" t="str">
        <v/>
      </c>
      <c r="L84" s="654" t="str">
        <v/>
      </c>
      <c r="M84" s="656" t="str">
        <v/>
      </c>
      <c r="N84" s="656" t="str">
        <v/>
      </c>
      <c r="O84" s="656" t="str">
        <v/>
      </c>
      <c r="P84" s="656" t="str">
        <v/>
      </c>
      <c r="Q84" s="657" t="str">
        <v/>
      </c>
      <c r="R84" s="658" t="str">
        <v/>
      </c>
      <c r="S84" s="655" t="str">
        <v/>
      </c>
      <c r="T84" s="658" t="str">
        <v/>
      </c>
      <c r="U84" s="665" t="str">
        <f>IF(AND(QueryFlag="ON",NOT(ISNA(I84))),_xll.BondOutstanding(I84),"")</f>
        <v/>
      </c>
    </row>
    <row r="85" spans="6:21">
      <c r="F85" s="908" t="s">
        <v>803</v>
      </c>
      <c r="G85" s="917">
        <f>IF(LEN($F85)&gt;1,_xll.BondInfo($F85,$G$4),"")</f>
        <v>43311</v>
      </c>
      <c r="I85" s="898" t="s">
        <v>803</v>
      </c>
      <c r="J85" s="655" t="str">
        <f t="array" ref="J85:T85">IF(AND(QueryFlag="ON",NOT(ISNA(I85))),_xll.BondInfo(I85,$J$4:$T$4),"")</f>
        <v/>
      </c>
      <c r="K85" s="656" t="str">
        <v/>
      </c>
      <c r="L85" s="654" t="str">
        <v/>
      </c>
      <c r="M85" s="656" t="str">
        <v/>
      </c>
      <c r="N85" s="656" t="str">
        <v/>
      </c>
      <c r="O85" s="656" t="str">
        <v/>
      </c>
      <c r="P85" s="656" t="str">
        <v/>
      </c>
      <c r="Q85" s="657" t="str">
        <v/>
      </c>
      <c r="R85" s="658" t="str">
        <v/>
      </c>
      <c r="S85" s="655" t="str">
        <v/>
      </c>
      <c r="T85" s="658" t="str">
        <v/>
      </c>
      <c r="U85" s="665" t="str">
        <f>IF(AND(QueryFlag="ON",NOT(ISNA(I85))),_xll.BondOutstanding(I85),"")</f>
        <v/>
      </c>
    </row>
    <row r="86" spans="6:21">
      <c r="F86" s="908" t="s">
        <v>810</v>
      </c>
      <c r="G86" s="917">
        <f>IF(LEN($F86)&gt;1,_xll.BondInfo($F86,$G$4),"")</f>
        <v>43404</v>
      </c>
      <c r="I86" s="898" t="s">
        <v>810</v>
      </c>
      <c r="J86" s="655" t="str">
        <f t="array" ref="J86:T86">IF(AND(QueryFlag="ON",NOT(ISNA(I86))),_xll.BondInfo(I86,$J$4:$T$4),"")</f>
        <v/>
      </c>
      <c r="K86" s="656" t="str">
        <v/>
      </c>
      <c r="L86" s="654" t="str">
        <v/>
      </c>
      <c r="M86" s="656" t="str">
        <v/>
      </c>
      <c r="N86" s="656" t="str">
        <v/>
      </c>
      <c r="O86" s="656" t="str">
        <v/>
      </c>
      <c r="P86" s="656" t="str">
        <v/>
      </c>
      <c r="Q86" s="657" t="str">
        <v/>
      </c>
      <c r="R86" s="658" t="str">
        <v/>
      </c>
      <c r="S86" s="655" t="str">
        <v/>
      </c>
      <c r="T86" s="658" t="str">
        <v/>
      </c>
      <c r="U86" s="665" t="str">
        <f>IF(AND(QueryFlag="ON",NOT(ISNA(I86))),_xll.BondOutstanding(I86),"")</f>
        <v/>
      </c>
    </row>
    <row r="87" spans="6:21">
      <c r="F87" s="908" t="s">
        <v>828</v>
      </c>
      <c r="G87" s="917">
        <f>IF(LEN($F87)&gt;1,_xll.BondInfo($F87,$G$4),"")</f>
        <v>43496</v>
      </c>
      <c r="I87" s="898" t="s">
        <v>828</v>
      </c>
      <c r="J87" s="655" t="str">
        <f t="array" ref="J87:T87">IF(AND(QueryFlag="ON",NOT(ISNA(I87))),_xll.BondInfo(I87,$J$4:$T$4),"")</f>
        <v/>
      </c>
      <c r="K87" s="656" t="str">
        <v/>
      </c>
      <c r="L87" s="654" t="str">
        <v/>
      </c>
      <c r="M87" s="656" t="str">
        <v/>
      </c>
      <c r="N87" s="656" t="str">
        <v/>
      </c>
      <c r="O87" s="656" t="str">
        <v/>
      </c>
      <c r="P87" s="656" t="str">
        <v/>
      </c>
      <c r="Q87" s="657" t="str">
        <v/>
      </c>
      <c r="R87" s="658" t="str">
        <v/>
      </c>
      <c r="S87" s="655" t="str">
        <v/>
      </c>
      <c r="T87" s="658" t="str">
        <v/>
      </c>
      <c r="U87" s="665" t="str">
        <f>IF(AND(QueryFlag="ON",NOT(ISNA(I87))),_xll.BondOutstanding(I87),"")</f>
        <v/>
      </c>
    </row>
    <row r="88" spans="6:21">
      <c r="F88" s="908" t="s">
        <v>812</v>
      </c>
      <c r="G88" s="917">
        <f>IF(LEN($F88)&gt;1,_xll.BondInfo($F88,$G$4),"")</f>
        <v>43585</v>
      </c>
      <c r="I88" s="898" t="s">
        <v>812</v>
      </c>
      <c r="J88" s="655" t="str">
        <f t="array" ref="J88:T88">IF(AND(QueryFlag="ON",NOT(ISNA(I88))),_xll.BondInfo(I88,$J$4:$T$4),"")</f>
        <v/>
      </c>
      <c r="K88" s="656" t="str">
        <v/>
      </c>
      <c r="L88" s="654" t="str">
        <v/>
      </c>
      <c r="M88" s="656" t="str">
        <v/>
      </c>
      <c r="N88" s="656" t="str">
        <v/>
      </c>
      <c r="O88" s="656" t="str">
        <v/>
      </c>
      <c r="P88" s="656" t="str">
        <v/>
      </c>
      <c r="Q88" s="657" t="str">
        <v/>
      </c>
      <c r="R88" s="658" t="str">
        <v/>
      </c>
      <c r="S88" s="655" t="str">
        <v/>
      </c>
      <c r="T88" s="658" t="str">
        <v/>
      </c>
      <c r="U88" s="665" t="str">
        <f>IF(AND(QueryFlag="ON",NOT(ISNA(I88))),_xll.BondOutstanding(I88),"")</f>
        <v/>
      </c>
    </row>
    <row r="89" spans="6:21">
      <c r="F89" s="908" t="s">
        <v>829</v>
      </c>
      <c r="G89" s="917">
        <f>IF(LEN($F89)&gt;1,_xll.BondInfo($F89,$G$4),"")</f>
        <v>43676</v>
      </c>
      <c r="I89" s="898" t="s">
        <v>829</v>
      </c>
      <c r="J89" s="655" t="str">
        <f t="array" ref="J89:T89">IF(AND(QueryFlag="ON",NOT(ISNA(I89))),_xll.BondInfo(I89,$J$4:$T$4),"")</f>
        <v/>
      </c>
      <c r="K89" s="656" t="str">
        <v/>
      </c>
      <c r="L89" s="654" t="str">
        <v/>
      </c>
      <c r="M89" s="656" t="str">
        <v/>
      </c>
      <c r="N89" s="656" t="str">
        <v/>
      </c>
      <c r="O89" s="656" t="str">
        <v/>
      </c>
      <c r="P89" s="656" t="str">
        <v/>
      </c>
      <c r="Q89" s="657" t="str">
        <v/>
      </c>
      <c r="R89" s="658" t="str">
        <v/>
      </c>
      <c r="S89" s="655" t="str">
        <v/>
      </c>
      <c r="T89" s="658" t="str">
        <v/>
      </c>
      <c r="U89" s="665" t="str">
        <f>IF(AND(QueryFlag="ON",NOT(ISNA(I89))),_xll.BondOutstanding(I89),"")</f>
        <v/>
      </c>
    </row>
    <row r="90" spans="6:21">
      <c r="F90" s="908" t="s">
        <v>804</v>
      </c>
      <c r="G90" s="917">
        <f>IF(LEN($F90)&gt;1,_xll.BondInfo($F90,$G$4),"")</f>
        <v>43769</v>
      </c>
      <c r="I90" s="898" t="s">
        <v>804</v>
      </c>
      <c r="J90" s="655" t="str">
        <f t="array" ref="J90:T90">IF(AND(QueryFlag="ON",NOT(ISNA(I90))),_xll.BondInfo(I90,$J$4:$T$4),"")</f>
        <v/>
      </c>
      <c r="K90" s="656" t="str">
        <v/>
      </c>
      <c r="L90" s="654" t="str">
        <v/>
      </c>
      <c r="M90" s="656" t="str">
        <v/>
      </c>
      <c r="N90" s="656" t="str">
        <v/>
      </c>
      <c r="O90" s="656" t="str">
        <v/>
      </c>
      <c r="P90" s="656" t="str">
        <v/>
      </c>
      <c r="Q90" s="657" t="str">
        <v/>
      </c>
      <c r="R90" s="658" t="str">
        <v/>
      </c>
      <c r="S90" s="655" t="str">
        <v/>
      </c>
      <c r="T90" s="658" t="str">
        <v/>
      </c>
      <c r="U90" s="665" t="str">
        <f>IF(AND(QueryFlag="ON",NOT(ISNA(I90))),_xll.BondOutstanding(I90),"")</f>
        <v/>
      </c>
    </row>
    <row r="91" spans="6:21">
      <c r="F91" s="908" t="s">
        <v>814</v>
      </c>
      <c r="G91" s="917">
        <f>IF(LEN($F91)&gt;1,_xll.BondInfo($F91,$G$4),"")</f>
        <v>43861</v>
      </c>
      <c r="I91" s="898" t="s">
        <v>814</v>
      </c>
      <c r="J91" s="655" t="str">
        <f t="array" ref="J91:T91">IF(AND(QueryFlag="ON",NOT(ISNA(I91))),_xll.BondInfo(I91,$J$4:$T$4),"")</f>
        <v/>
      </c>
      <c r="K91" s="656" t="str">
        <v/>
      </c>
      <c r="L91" s="654" t="str">
        <v/>
      </c>
      <c r="M91" s="656" t="str">
        <v/>
      </c>
      <c r="N91" s="656" t="str">
        <v/>
      </c>
      <c r="O91" s="656" t="str">
        <v/>
      </c>
      <c r="P91" s="656" t="str">
        <v/>
      </c>
      <c r="Q91" s="657" t="str">
        <v/>
      </c>
      <c r="R91" s="658" t="str">
        <v/>
      </c>
      <c r="S91" s="655" t="str">
        <v/>
      </c>
      <c r="T91" s="658" t="str">
        <v/>
      </c>
      <c r="U91" s="665" t="str">
        <f>IF(AND(QueryFlag="ON",NOT(ISNA(I91))),_xll.BondOutstanding(I91),"")</f>
        <v/>
      </c>
    </row>
    <row r="92" spans="6:21">
      <c r="F92" s="908" t="s">
        <v>805</v>
      </c>
      <c r="G92" s="917">
        <f>IF(LEN($F92)&gt;1,_xll.BondInfo($F92,$G$4),"")</f>
        <v>43951</v>
      </c>
      <c r="I92" s="898" t="s">
        <v>805</v>
      </c>
      <c r="J92" s="655" t="str">
        <f t="array" ref="J92:T92">IF(AND(QueryFlag="ON",NOT(ISNA(I92))),_xll.BondInfo(I92,$J$4:$T$4),"")</f>
        <v/>
      </c>
      <c r="K92" s="656" t="str">
        <v/>
      </c>
      <c r="L92" s="654" t="str">
        <v/>
      </c>
      <c r="M92" s="656" t="str">
        <v/>
      </c>
      <c r="N92" s="656" t="str">
        <v/>
      </c>
      <c r="O92" s="656" t="str">
        <v/>
      </c>
      <c r="P92" s="656" t="str">
        <v/>
      </c>
      <c r="Q92" s="657" t="str">
        <v/>
      </c>
      <c r="R92" s="658" t="str">
        <v/>
      </c>
      <c r="S92" s="655" t="str">
        <v/>
      </c>
      <c r="T92" s="658" t="str">
        <v/>
      </c>
      <c r="U92" s="665" t="str">
        <f>IF(AND(QueryFlag="ON",NOT(ISNA(I92))),_xll.BondOutstanding(I92),"")</f>
        <v/>
      </c>
    </row>
    <row r="93" spans="6:21">
      <c r="F93" s="908" t="s">
        <v>819</v>
      </c>
      <c r="G93" s="917">
        <f>IF(LEN($F93)&gt;1,_xll.BondInfo($F93,$G$4),"")</f>
        <v>44042</v>
      </c>
      <c r="I93" s="898" t="s">
        <v>819</v>
      </c>
      <c r="J93" s="655" t="str">
        <f t="array" ref="J93:T93">IF(AND(QueryFlag="ON",NOT(ISNA(I93))),_xll.BondInfo(I93,$J$4:$T$4),"")</f>
        <v/>
      </c>
      <c r="K93" s="656" t="str">
        <v/>
      </c>
      <c r="L93" s="654" t="str">
        <v/>
      </c>
      <c r="M93" s="656" t="str">
        <v/>
      </c>
      <c r="N93" s="656" t="str">
        <v/>
      </c>
      <c r="O93" s="656" t="str">
        <v/>
      </c>
      <c r="P93" s="656" t="str">
        <v/>
      </c>
      <c r="Q93" s="657" t="str">
        <v/>
      </c>
      <c r="R93" s="658" t="str">
        <v/>
      </c>
      <c r="S93" s="655" t="str">
        <v/>
      </c>
      <c r="T93" s="658" t="str">
        <v/>
      </c>
      <c r="U93" s="665" t="str">
        <f>IF(AND(QueryFlag="ON",NOT(ISNA(I93))),_xll.BondOutstanding(I93),"")</f>
        <v/>
      </c>
    </row>
    <row r="94" spans="6:21">
      <c r="F94" s="908" t="s">
        <v>830</v>
      </c>
      <c r="G94" s="917">
        <f>IF(LEN($F94)&gt;1,_xll.BondInfo($F94,$G$4),"")</f>
        <v>44135</v>
      </c>
      <c r="I94" s="898" t="s">
        <v>830</v>
      </c>
      <c r="J94" s="655" t="str">
        <f t="array" ref="J94:T94">IF(AND(QueryFlag="ON",NOT(ISNA(I94))),_xll.BondInfo(I94,$J$4:$T$4),"")</f>
        <v/>
      </c>
      <c r="K94" s="656" t="str">
        <v/>
      </c>
      <c r="L94" s="654" t="str">
        <v/>
      </c>
      <c r="M94" s="656" t="str">
        <v/>
      </c>
      <c r="N94" s="656" t="str">
        <v/>
      </c>
      <c r="O94" s="656" t="str">
        <v/>
      </c>
      <c r="P94" s="656" t="str">
        <v/>
      </c>
      <c r="Q94" s="657" t="str">
        <v/>
      </c>
      <c r="R94" s="658" t="str">
        <v/>
      </c>
      <c r="S94" s="655" t="str">
        <v/>
      </c>
      <c r="T94" s="658" t="str">
        <v/>
      </c>
      <c r="U94" s="665" t="str">
        <f>IF(AND(QueryFlag="ON",NOT(ISNA(I94))),_xll.BondOutstanding(I94),"")</f>
        <v/>
      </c>
    </row>
    <row r="95" spans="6:21">
      <c r="F95" s="908" t="s">
        <v>1633</v>
      </c>
      <c r="G95" s="917">
        <f>IF(LEN($F95)&gt;1,_xll.BondInfo($F95,$G$4),"")</f>
        <v>44227</v>
      </c>
      <c r="I95" s="898" t="s">
        <v>1633</v>
      </c>
      <c r="J95" s="655" t="str">
        <f t="array" ref="J95:T95">IF(AND(QueryFlag="ON",NOT(ISNA(I95))),_xll.BondInfo(I95,$J$4:$T$4),"")</f>
        <v/>
      </c>
      <c r="K95" s="656" t="str">
        <v/>
      </c>
      <c r="L95" s="654" t="str">
        <v/>
      </c>
      <c r="M95" s="656" t="str">
        <v/>
      </c>
      <c r="N95" s="656" t="str">
        <v/>
      </c>
      <c r="O95" s="656" t="str">
        <v/>
      </c>
      <c r="P95" s="656" t="str">
        <v/>
      </c>
      <c r="Q95" s="657" t="str">
        <v/>
      </c>
      <c r="R95" s="658" t="str">
        <v/>
      </c>
      <c r="S95" s="655" t="str">
        <v/>
      </c>
      <c r="T95" s="658" t="str">
        <v/>
      </c>
      <c r="U95" s="665" t="str">
        <f>IF(AND(QueryFlag="ON",NOT(ISNA(I95))),_xll.BondOutstanding(I95),"")</f>
        <v/>
      </c>
    </row>
    <row r="96" spans="6:21">
      <c r="F96" s="908" t="s">
        <v>806</v>
      </c>
      <c r="G96" s="917">
        <f>IF(LEN($F96)&gt;1,_xll.BondInfo($F96,$G$4),"")</f>
        <v>44316</v>
      </c>
      <c r="I96" s="898" t="s">
        <v>806</v>
      </c>
      <c r="J96" s="655" t="str">
        <f t="array" ref="J96:T96">IF(AND(QueryFlag="ON",NOT(ISNA(I96))),_xll.BondInfo(I96,$J$4:$T$4),"")</f>
        <v/>
      </c>
      <c r="K96" s="656" t="str">
        <v/>
      </c>
      <c r="L96" s="654" t="str">
        <v/>
      </c>
      <c r="M96" s="656" t="str">
        <v/>
      </c>
      <c r="N96" s="656" t="str">
        <v/>
      </c>
      <c r="O96" s="656" t="str">
        <v/>
      </c>
      <c r="P96" s="656" t="str">
        <v/>
      </c>
      <c r="Q96" s="657" t="str">
        <v/>
      </c>
      <c r="R96" s="658" t="str">
        <v/>
      </c>
      <c r="S96" s="655" t="str">
        <v/>
      </c>
      <c r="T96" s="658" t="str">
        <v/>
      </c>
      <c r="U96" s="665" t="str">
        <f>IF(AND(QueryFlag="ON",NOT(ISNA(I96))),_xll.BondOutstanding(I96),"")</f>
        <v/>
      </c>
    </row>
    <row r="97" spans="6:21">
      <c r="F97" s="908" t="s">
        <v>831</v>
      </c>
      <c r="G97" s="917">
        <f>IF(LEN($F97)&gt;1,_xll.BondInfo($F97,$G$4),"")</f>
        <v>44407</v>
      </c>
      <c r="I97" s="898" t="s">
        <v>831</v>
      </c>
      <c r="J97" s="655" t="str">
        <f t="array" ref="J97:T97">IF(AND(QueryFlag="ON",NOT(ISNA(I97))),_xll.BondInfo(I97,$J$4:$T$4),"")</f>
        <v/>
      </c>
      <c r="K97" s="656" t="str">
        <v/>
      </c>
      <c r="L97" s="654" t="str">
        <v/>
      </c>
      <c r="M97" s="656" t="str">
        <v/>
      </c>
      <c r="N97" s="656" t="str">
        <v/>
      </c>
      <c r="O97" s="656" t="str">
        <v/>
      </c>
      <c r="P97" s="656" t="str">
        <v/>
      </c>
      <c r="Q97" s="657" t="str">
        <v/>
      </c>
      <c r="R97" s="658" t="str">
        <v/>
      </c>
      <c r="S97" s="655" t="str">
        <v/>
      </c>
      <c r="T97" s="658" t="str">
        <v/>
      </c>
      <c r="U97" s="665" t="str">
        <f>IF(AND(QueryFlag="ON",NOT(ISNA(I97))),_xll.BondOutstanding(I97),"")</f>
        <v/>
      </c>
    </row>
    <row r="98" spans="6:21">
      <c r="F98" s="908" t="s">
        <v>808</v>
      </c>
      <c r="G98" s="917">
        <f>IF(LEN($F98)&gt;1,_xll.BondInfo($F98,$G$4),"")</f>
        <v>44592</v>
      </c>
      <c r="I98" s="898" t="s">
        <v>808</v>
      </c>
      <c r="J98" s="655" t="str">
        <f t="array" ref="J98:T98">IF(AND(QueryFlag="ON",NOT(ISNA(I98))),_xll.BondInfo(I98,$J$4:$T$4),"")</f>
        <v/>
      </c>
      <c r="K98" s="656" t="str">
        <v/>
      </c>
      <c r="L98" s="654" t="str">
        <v/>
      </c>
      <c r="M98" s="656" t="str">
        <v/>
      </c>
      <c r="N98" s="656" t="str">
        <v/>
      </c>
      <c r="O98" s="656" t="str">
        <v/>
      </c>
      <c r="P98" s="656" t="str">
        <v/>
      </c>
      <c r="Q98" s="657" t="str">
        <v/>
      </c>
      <c r="R98" s="658" t="str">
        <v/>
      </c>
      <c r="S98" s="655" t="str">
        <v/>
      </c>
      <c r="T98" s="658" t="str">
        <v/>
      </c>
      <c r="U98" s="665" t="str">
        <f>IF(AND(QueryFlag="ON",NOT(ISNA(I98))),_xll.BondOutstanding(I98),"")</f>
        <v/>
      </c>
    </row>
    <row r="99" spans="6:21">
      <c r="F99" s="908" t="s">
        <v>948</v>
      </c>
      <c r="G99" s="917">
        <f>IF(LEN($F99)&gt;1,_xll.BondInfo($F99,$G$4),"")</f>
        <v>44681</v>
      </c>
      <c r="I99" s="898" t="s">
        <v>948</v>
      </c>
      <c r="J99" s="655" t="str">
        <f t="array" ref="J99:T99">IF(AND(QueryFlag="ON",NOT(ISNA(I99))),_xll.BondInfo(I99,$J$4:$T$4),"")</f>
        <v/>
      </c>
      <c r="K99" s="656" t="str">
        <v/>
      </c>
      <c r="L99" s="654" t="str">
        <v/>
      </c>
      <c r="M99" s="656" t="str">
        <v/>
      </c>
      <c r="N99" s="656" t="str">
        <v/>
      </c>
      <c r="O99" s="656" t="str">
        <v/>
      </c>
      <c r="P99" s="656" t="str">
        <v/>
      </c>
      <c r="Q99" s="657" t="str">
        <v/>
      </c>
      <c r="R99" s="658" t="str">
        <v/>
      </c>
      <c r="S99" s="655" t="str">
        <v/>
      </c>
      <c r="T99" s="658" t="str">
        <v/>
      </c>
      <c r="U99" s="665" t="str">
        <f>IF(AND(QueryFlag="ON",NOT(ISNA(I99))),_xll.BondOutstanding(I99),"")</f>
        <v/>
      </c>
    </row>
    <row r="100" spans="6:21">
      <c r="F100" s="908" t="s">
        <v>1634</v>
      </c>
      <c r="G100" s="917">
        <f>IF(LEN($F100)&gt;1,_xll.BondInfo($F100,$G$4),"")</f>
        <v>44865</v>
      </c>
      <c r="I100" s="898" t="s">
        <v>1634</v>
      </c>
      <c r="J100" s="655" t="str">
        <f t="array" ref="J100:T100">IF(AND(QueryFlag="ON",NOT(ISNA(I100))),_xll.BondInfo(I100,$J$4:$T$4),"")</f>
        <v/>
      </c>
      <c r="K100" s="656" t="str">
        <v/>
      </c>
      <c r="L100" s="654" t="str">
        <v/>
      </c>
      <c r="M100" s="656" t="str">
        <v/>
      </c>
      <c r="N100" s="656" t="str">
        <v/>
      </c>
      <c r="O100" s="656" t="str">
        <v/>
      </c>
      <c r="P100" s="656" t="str">
        <v/>
      </c>
      <c r="Q100" s="657" t="str">
        <v/>
      </c>
      <c r="R100" s="658" t="str">
        <v/>
      </c>
      <c r="S100" s="655" t="str">
        <v/>
      </c>
      <c r="T100" s="658" t="str">
        <v/>
      </c>
      <c r="U100" s="665" t="str">
        <f>IF(AND(QueryFlag="ON",NOT(ISNA(I100))),_xll.BondOutstanding(I100),"")</f>
        <v/>
      </c>
    </row>
    <row r="101" spans="6:21">
      <c r="F101" s="908" t="s">
        <v>832</v>
      </c>
      <c r="G101" s="917">
        <f>IF(LEN($F101)&gt;1,_xll.BondInfo($F101,$G$4),"")</f>
        <v>44957</v>
      </c>
      <c r="I101" s="898" t="s">
        <v>832</v>
      </c>
      <c r="J101" s="655" t="str">
        <f t="array" ref="J101:T101">IF(AND(QueryFlag="ON",NOT(ISNA(I101))),_xll.BondInfo(I101,$J$4:$T$4),"")</f>
        <v/>
      </c>
      <c r="K101" s="656" t="str">
        <v/>
      </c>
      <c r="L101" s="654" t="str">
        <v/>
      </c>
      <c r="M101" s="656" t="str">
        <v/>
      </c>
      <c r="N101" s="656" t="str">
        <v/>
      </c>
      <c r="O101" s="656" t="str">
        <v/>
      </c>
      <c r="P101" s="656" t="str">
        <v/>
      </c>
      <c r="Q101" s="657" t="str">
        <v/>
      </c>
      <c r="R101" s="658" t="str">
        <v/>
      </c>
      <c r="S101" s="655" t="str">
        <v/>
      </c>
      <c r="T101" s="658" t="str">
        <v/>
      </c>
      <c r="U101" s="665" t="str">
        <f>IF(AND(QueryFlag="ON",NOT(ISNA(I101))),_xll.BondOutstanding(I101),"")</f>
        <v/>
      </c>
    </row>
    <row r="102" spans="6:21">
      <c r="F102" s="908" t="s">
        <v>833</v>
      </c>
      <c r="G102" s="917">
        <f>IF(LEN($F102)&gt;1,_xll.BondInfo($F102,$G$4),"")</f>
        <v>45230</v>
      </c>
      <c r="I102" s="898" t="s">
        <v>833</v>
      </c>
      <c r="J102" s="655" t="str">
        <f t="array" ref="J102:T102">IF(AND(QueryFlag="ON",NOT(ISNA(I102))),_xll.BondInfo(I102,$J$4:$T$4),"")</f>
        <v/>
      </c>
      <c r="K102" s="656" t="str">
        <v/>
      </c>
      <c r="L102" s="654" t="str">
        <v/>
      </c>
      <c r="M102" s="656" t="str">
        <v/>
      </c>
      <c r="N102" s="656" t="str">
        <v/>
      </c>
      <c r="O102" s="656" t="str">
        <v/>
      </c>
      <c r="P102" s="656" t="str">
        <v/>
      </c>
      <c r="Q102" s="657" t="str">
        <v/>
      </c>
      <c r="R102" s="658" t="str">
        <v/>
      </c>
      <c r="S102" s="655" t="str">
        <v/>
      </c>
      <c r="T102" s="658" t="str">
        <v/>
      </c>
      <c r="U102" s="665" t="str">
        <f>IF(AND(QueryFlag="ON",NOT(ISNA(I102))),_xll.BondOutstanding(I102),"")</f>
        <v/>
      </c>
    </row>
    <row r="103" spans="6:21">
      <c r="F103" s="908" t="s">
        <v>834</v>
      </c>
      <c r="G103" s="917">
        <f>IF(LEN($F103)&gt;1,_xll.BondInfo($F103,$G$4),"")</f>
        <v>45322</v>
      </c>
      <c r="I103" s="898" t="s">
        <v>834</v>
      </c>
      <c r="J103" s="655" t="str">
        <f t="array" ref="J103:T103">IF(AND(QueryFlag="ON",NOT(ISNA(I103))),_xll.BondInfo(I103,$J$4:$T$4),"")</f>
        <v/>
      </c>
      <c r="K103" s="656" t="str">
        <v/>
      </c>
      <c r="L103" s="654" t="str">
        <v/>
      </c>
      <c r="M103" s="656" t="str">
        <v/>
      </c>
      <c r="N103" s="656" t="str">
        <v/>
      </c>
      <c r="O103" s="656" t="str">
        <v/>
      </c>
      <c r="P103" s="656" t="str">
        <v/>
      </c>
      <c r="Q103" s="657" t="str">
        <v/>
      </c>
      <c r="R103" s="658" t="str">
        <v/>
      </c>
      <c r="S103" s="655" t="str">
        <v/>
      </c>
      <c r="T103" s="658" t="str">
        <v/>
      </c>
      <c r="U103" s="665" t="str">
        <f>IF(AND(QueryFlag="ON",NOT(ISNA(I103))),_xll.BondOutstanding(I103),"")</f>
        <v/>
      </c>
    </row>
    <row r="104" spans="6:21">
      <c r="F104" s="908" t="s">
        <v>813</v>
      </c>
      <c r="G104" s="917">
        <f>IF(LEN($F104)&gt;1,_xll.BondInfo($F104,$G$4),"")</f>
        <v>45412</v>
      </c>
      <c r="I104" s="898" t="s">
        <v>813</v>
      </c>
      <c r="J104" s="655" t="str">
        <f t="array" ref="J104:T104">IF(AND(QueryFlag="ON",NOT(ISNA(I104))),_xll.BondInfo(I104,$J$4:$T$4),"")</f>
        <v/>
      </c>
      <c r="K104" s="656" t="str">
        <v/>
      </c>
      <c r="L104" s="654" t="str">
        <v/>
      </c>
      <c r="M104" s="656" t="str">
        <v/>
      </c>
      <c r="N104" s="656" t="str">
        <v/>
      </c>
      <c r="O104" s="656" t="str">
        <v/>
      </c>
      <c r="P104" s="656" t="str">
        <v/>
      </c>
      <c r="Q104" s="657" t="str">
        <v/>
      </c>
      <c r="R104" s="658" t="str">
        <v/>
      </c>
      <c r="S104" s="655" t="str">
        <v/>
      </c>
      <c r="T104" s="658" t="str">
        <v/>
      </c>
      <c r="U104" s="665" t="str">
        <f>IF(AND(QueryFlag="ON",NOT(ISNA(I104))),_xll.BondOutstanding(I104),"")</f>
        <v/>
      </c>
    </row>
    <row r="105" spans="6:21">
      <c r="F105" s="908" t="s">
        <v>835</v>
      </c>
      <c r="G105" s="917">
        <f>IF(LEN($F105)&gt;1,_xll.BondInfo($F105,$G$4),"")</f>
        <v>45596</v>
      </c>
      <c r="I105" s="898" t="s">
        <v>835</v>
      </c>
      <c r="J105" s="655" t="str">
        <f t="array" ref="J105:T105">IF(AND(QueryFlag="ON",NOT(ISNA(I105))),_xll.BondInfo(I105,$J$4:$T$4),"")</f>
        <v/>
      </c>
      <c r="K105" s="656" t="str">
        <v/>
      </c>
      <c r="L105" s="654" t="str">
        <v/>
      </c>
      <c r="M105" s="656" t="str">
        <v/>
      </c>
      <c r="N105" s="656" t="str">
        <v/>
      </c>
      <c r="O105" s="656" t="str">
        <v/>
      </c>
      <c r="P105" s="656" t="str">
        <v/>
      </c>
      <c r="Q105" s="657" t="str">
        <v/>
      </c>
      <c r="R105" s="658" t="str">
        <v/>
      </c>
      <c r="S105" s="655" t="str">
        <v/>
      </c>
      <c r="T105" s="658" t="str">
        <v/>
      </c>
      <c r="U105" s="665" t="str">
        <f>IF(AND(QueryFlag="ON",NOT(ISNA(I105))),_xll.BondOutstanding(I105),"")</f>
        <v/>
      </c>
    </row>
    <row r="106" spans="6:21">
      <c r="F106" s="908" t="s">
        <v>772</v>
      </c>
      <c r="G106" s="917">
        <f>IF(LEN($F106)&gt;1,_xll.BondInfo($F106,$G$4),"")</f>
        <v>45777</v>
      </c>
      <c r="I106" s="898" t="s">
        <v>772</v>
      </c>
      <c r="J106" s="655" t="str">
        <f t="array" ref="J106:T106">IF(AND(QueryFlag="ON",NOT(ISNA(I106))),_xll.BondInfo(I106,$J$4:$T$4),"")</f>
        <v/>
      </c>
      <c r="K106" s="656" t="str">
        <v/>
      </c>
      <c r="L106" s="654" t="str">
        <v/>
      </c>
      <c r="M106" s="656" t="str">
        <v/>
      </c>
      <c r="N106" s="656" t="str">
        <v/>
      </c>
      <c r="O106" s="656" t="str">
        <v/>
      </c>
      <c r="P106" s="656" t="str">
        <v/>
      </c>
      <c r="Q106" s="657" t="str">
        <v/>
      </c>
      <c r="R106" s="658" t="str">
        <v/>
      </c>
      <c r="S106" s="655" t="str">
        <v/>
      </c>
      <c r="T106" s="658" t="str">
        <v/>
      </c>
      <c r="U106" s="665" t="str">
        <f>IF(AND(QueryFlag="ON",NOT(ISNA(I106))),_xll.BondOutstanding(I106),"")</f>
        <v/>
      </c>
    </row>
    <row r="107" spans="6:21">
      <c r="F107" s="908" t="s">
        <v>773</v>
      </c>
      <c r="G107" s="917">
        <f>IF(LEN($F107)&gt;1,_xll.BondInfo($F107,$G$4),"")</f>
        <v>45868</v>
      </c>
      <c r="I107" s="898" t="s">
        <v>773</v>
      </c>
      <c r="J107" s="655" t="str">
        <f t="array" ref="J107:T107">IF(AND(QueryFlag="ON",NOT(ISNA(I107))),_xll.BondInfo(I107,$J$4:$T$4),"")</f>
        <v/>
      </c>
      <c r="K107" s="656" t="str">
        <v/>
      </c>
      <c r="L107" s="654" t="str">
        <v/>
      </c>
      <c r="M107" s="656" t="str">
        <v/>
      </c>
      <c r="N107" s="656" t="str">
        <v/>
      </c>
      <c r="O107" s="656" t="str">
        <v/>
      </c>
      <c r="P107" s="656" t="str">
        <v/>
      </c>
      <c r="Q107" s="657" t="str">
        <v/>
      </c>
      <c r="R107" s="658" t="str">
        <v/>
      </c>
      <c r="S107" s="655" t="str">
        <v/>
      </c>
      <c r="T107" s="658" t="str">
        <v/>
      </c>
      <c r="U107" s="665" t="str">
        <f>IF(AND(QueryFlag="ON",NOT(ISNA(I107))),_xll.BondOutstanding(I107),"")</f>
        <v/>
      </c>
    </row>
    <row r="108" spans="6:21">
      <c r="F108" s="908" t="s">
        <v>774</v>
      </c>
      <c r="G108" s="917">
        <f>IF(LEN($F108)&gt;1,_xll.BondInfo($F108,$G$4),"")</f>
        <v>45961</v>
      </c>
      <c r="I108" s="898" t="s">
        <v>774</v>
      </c>
      <c r="J108" s="655" t="str">
        <f t="array" ref="J108:T108">IF(AND(QueryFlag="ON",NOT(ISNA(I108))),_xll.BondInfo(I108,$J$4:$T$4),"")</f>
        <v/>
      </c>
      <c r="K108" s="656" t="str">
        <v/>
      </c>
      <c r="L108" s="654" t="str">
        <v/>
      </c>
      <c r="M108" s="656" t="str">
        <v/>
      </c>
      <c r="N108" s="656" t="str">
        <v/>
      </c>
      <c r="O108" s="656" t="str">
        <v/>
      </c>
      <c r="P108" s="656" t="str">
        <v/>
      </c>
      <c r="Q108" s="657" t="str">
        <v/>
      </c>
      <c r="R108" s="658" t="str">
        <v/>
      </c>
      <c r="S108" s="655" t="str">
        <v/>
      </c>
      <c r="T108" s="658" t="str">
        <v/>
      </c>
      <c r="U108" s="665" t="str">
        <f>IF(AND(QueryFlag="ON",NOT(ISNA(I108))),_xll.BondOutstanding(I108),"")</f>
        <v/>
      </c>
    </row>
    <row r="109" spans="6:21">
      <c r="F109" s="908" t="s">
        <v>799</v>
      </c>
      <c r="G109" s="917">
        <f>IF(LEN($F109)&gt;1,_xll.BondInfo($F109,$G$4),"")</f>
        <v>46142</v>
      </c>
      <c r="I109" s="898" t="s">
        <v>799</v>
      </c>
      <c r="J109" s="655" t="str">
        <f t="array" ref="J109:T109">IF(AND(QueryFlag="ON",NOT(ISNA(I109))),_xll.BondInfo(I109,$J$4:$T$4),"")</f>
        <v/>
      </c>
      <c r="K109" s="656" t="str">
        <v/>
      </c>
      <c r="L109" s="654" t="str">
        <v/>
      </c>
      <c r="M109" s="656" t="str">
        <v/>
      </c>
      <c r="N109" s="656" t="str">
        <v/>
      </c>
      <c r="O109" s="656" t="str">
        <v/>
      </c>
      <c r="P109" s="656" t="str">
        <v/>
      </c>
      <c r="Q109" s="657" t="str">
        <v/>
      </c>
      <c r="R109" s="658" t="str">
        <v/>
      </c>
      <c r="S109" s="655" t="str">
        <v/>
      </c>
      <c r="T109" s="658" t="str">
        <v/>
      </c>
      <c r="U109" s="665" t="str">
        <f>IF(AND(QueryFlag="ON",NOT(ISNA(I109))),_xll.BondOutstanding(I109),"")</f>
        <v/>
      </c>
    </row>
    <row r="110" spans="6:21">
      <c r="F110" s="908" t="s">
        <v>775</v>
      </c>
      <c r="G110" s="917">
        <f>IF(LEN($F110)&gt;1,_xll.BondInfo($F110,$G$4),"")</f>
        <v>46233</v>
      </c>
      <c r="I110" s="898" t="s">
        <v>775</v>
      </c>
      <c r="J110" s="655" t="str">
        <f t="array" ref="J110:T110">IF(AND(QueryFlag="ON",NOT(ISNA(I110))),_xll.BondInfo(I110,$J$4:$T$4),"")</f>
        <v/>
      </c>
      <c r="K110" s="656" t="str">
        <v/>
      </c>
      <c r="L110" s="654" t="str">
        <v/>
      </c>
      <c r="M110" s="656" t="str">
        <v/>
      </c>
      <c r="N110" s="656" t="str">
        <v/>
      </c>
      <c r="O110" s="656" t="str">
        <v/>
      </c>
      <c r="P110" s="656" t="str">
        <v/>
      </c>
      <c r="Q110" s="657" t="str">
        <v/>
      </c>
      <c r="R110" s="658" t="str">
        <v/>
      </c>
      <c r="S110" s="655" t="str">
        <v/>
      </c>
      <c r="T110" s="658" t="str">
        <v/>
      </c>
      <c r="U110" s="665" t="str">
        <f>IF(AND(QueryFlag="ON",NOT(ISNA(I110))),_xll.BondOutstanding(I110),"")</f>
        <v/>
      </c>
    </row>
    <row r="111" spans="6:21">
      <c r="F111" s="908" t="s">
        <v>871</v>
      </c>
      <c r="G111" s="917">
        <f>IF(LEN($F111)&gt;1,_xll.BondInfo($F111,$G$4),"")</f>
        <v>46326</v>
      </c>
      <c r="I111" s="898" t="s">
        <v>871</v>
      </c>
      <c r="J111" s="655" t="str">
        <f t="array" ref="J111:T111">IF(AND(QueryFlag="ON",NOT(ISNA(I111))),_xll.BondInfo(I111,$J$4:$T$4),"")</f>
        <v/>
      </c>
      <c r="K111" s="656" t="str">
        <v/>
      </c>
      <c r="L111" s="654" t="str">
        <v/>
      </c>
      <c r="M111" s="656" t="str">
        <v/>
      </c>
      <c r="N111" s="656" t="str">
        <v/>
      </c>
      <c r="O111" s="656" t="str">
        <v/>
      </c>
      <c r="P111" s="656" t="str">
        <v/>
      </c>
      <c r="Q111" s="657" t="str">
        <v/>
      </c>
      <c r="R111" s="658" t="str">
        <v/>
      </c>
      <c r="S111" s="655" t="str">
        <v/>
      </c>
      <c r="T111" s="658" t="str">
        <v/>
      </c>
      <c r="U111" s="665" t="str">
        <f>IF(AND(QueryFlag="ON",NOT(ISNA(I111))),_xll.BondOutstanding(I111),"")</f>
        <v/>
      </c>
    </row>
    <row r="112" spans="6:21">
      <c r="F112" s="908" t="s">
        <v>931</v>
      </c>
      <c r="G112" s="917">
        <f>IF(LEN($F112)&gt;1,_xll.BondInfo($F112,$G$4),"")</f>
        <v>46507</v>
      </c>
      <c r="I112" s="898" t="s">
        <v>931</v>
      </c>
      <c r="J112" s="655" t="str">
        <f t="array" ref="J112:T112">IF(AND(QueryFlag="ON",NOT(ISNA(I112))),_xll.BondInfo(I112,$J$4:$T$4),"")</f>
        <v/>
      </c>
      <c r="K112" s="656" t="str">
        <v/>
      </c>
      <c r="L112" s="654" t="str">
        <v/>
      </c>
      <c r="M112" s="656" t="str">
        <v/>
      </c>
      <c r="N112" s="656" t="str">
        <v/>
      </c>
      <c r="O112" s="656" t="str">
        <v/>
      </c>
      <c r="P112" s="656" t="str">
        <v/>
      </c>
      <c r="Q112" s="657" t="str">
        <v/>
      </c>
      <c r="R112" s="658" t="str">
        <v/>
      </c>
      <c r="S112" s="655" t="str">
        <v/>
      </c>
      <c r="T112" s="658" t="str">
        <v/>
      </c>
      <c r="U112" s="665" t="str">
        <f>IF(AND(QueryFlag="ON",NOT(ISNA(I112))),_xll.BondOutstanding(I112),"")</f>
        <v/>
      </c>
    </row>
    <row r="113" spans="6:21">
      <c r="F113" s="908" t="s">
        <v>995</v>
      </c>
      <c r="G113" s="917">
        <f>IF(LEN($F113)&gt;1,_xll.BondInfo($F113,$G$4),"")</f>
        <v>46691</v>
      </c>
      <c r="I113" s="898" t="s">
        <v>995</v>
      </c>
      <c r="J113" s="655" t="str">
        <f t="array" ref="J113:T113">IF(AND(QueryFlag="ON",NOT(ISNA(I113))),_xll.BondInfo(I113,$J$4:$T$4),"")</f>
        <v/>
      </c>
      <c r="K113" s="656" t="str">
        <v/>
      </c>
      <c r="L113" s="654" t="str">
        <v/>
      </c>
      <c r="M113" s="656" t="str">
        <v/>
      </c>
      <c r="N113" s="656" t="str">
        <v/>
      </c>
      <c r="O113" s="656" t="str">
        <v/>
      </c>
      <c r="P113" s="656" t="str">
        <v/>
      </c>
      <c r="Q113" s="657" t="str">
        <v/>
      </c>
      <c r="R113" s="658" t="str">
        <v/>
      </c>
      <c r="S113" s="655" t="str">
        <v/>
      </c>
      <c r="T113" s="658" t="str">
        <v/>
      </c>
      <c r="U113" s="665" t="str">
        <f>IF(AND(QueryFlag="ON",NOT(ISNA(I113))),_xll.BondOutstanding(I113),"")</f>
        <v/>
      </c>
    </row>
    <row r="114" spans="6:21">
      <c r="F114" s="908" t="s">
        <v>1710</v>
      </c>
      <c r="G114" s="917">
        <f>IF(LEN($F114)&gt;1,_xll.BondInfo($F114,$G$4),"")</f>
        <v>46873</v>
      </c>
      <c r="I114" s="898" t="s">
        <v>1710</v>
      </c>
      <c r="J114" s="655" t="str">
        <f t="array" ref="J114:T114">IF(AND(QueryFlag="ON",NOT(ISNA(I114))),_xll.BondInfo(I114,$J$4:$T$4),"")</f>
        <v/>
      </c>
      <c r="K114" s="656" t="str">
        <v/>
      </c>
      <c r="L114" s="654" t="str">
        <v/>
      </c>
      <c r="M114" s="656" t="str">
        <v/>
      </c>
      <c r="N114" s="656" t="str">
        <v/>
      </c>
      <c r="O114" s="656" t="str">
        <v/>
      </c>
      <c r="P114" s="656" t="str">
        <v/>
      </c>
      <c r="Q114" s="657" t="str">
        <v/>
      </c>
      <c r="R114" s="658" t="str">
        <v/>
      </c>
      <c r="S114" s="655" t="str">
        <v/>
      </c>
      <c r="T114" s="658" t="str">
        <v/>
      </c>
      <c r="U114" s="665" t="str">
        <f>IF(AND(QueryFlag="ON",NOT(ISNA(I114))),_xll.BondOutstanding(I114),"")</f>
        <v/>
      </c>
    </row>
    <row r="115" spans="6:21">
      <c r="F115" s="908" t="s">
        <v>836</v>
      </c>
      <c r="G115" s="917">
        <f>IF(LEN($F115)&gt;1,_xll.BondInfo($F115,$G$4),"")</f>
        <v>47057</v>
      </c>
      <c r="I115" s="898" t="s">
        <v>836</v>
      </c>
      <c r="J115" s="655" t="str">
        <f t="array" ref="J115:T115">IF(AND(QueryFlag="ON",NOT(ISNA(I115))),_xll.BondInfo(I115,$J$4:$T$4),"")</f>
        <v/>
      </c>
      <c r="K115" s="656" t="str">
        <v/>
      </c>
      <c r="L115" s="654" t="str">
        <v/>
      </c>
      <c r="M115" s="656" t="str">
        <v/>
      </c>
      <c r="N115" s="656" t="str">
        <v/>
      </c>
      <c r="O115" s="656" t="str">
        <v/>
      </c>
      <c r="P115" s="656" t="str">
        <v/>
      </c>
      <c r="Q115" s="657" t="str">
        <v/>
      </c>
      <c r="R115" s="658" t="str">
        <v/>
      </c>
      <c r="S115" s="655" t="str">
        <v/>
      </c>
      <c r="T115" s="658" t="str">
        <v/>
      </c>
      <c r="U115" s="665" t="str">
        <f>IF(AND(QueryFlag="ON",NOT(ISNA(I115))),_xll.BondOutstanding(I115),"")</f>
        <v/>
      </c>
    </row>
    <row r="116" spans="6:21">
      <c r="F116" s="908" t="s">
        <v>837</v>
      </c>
      <c r="G116" s="917">
        <f>IF(LEN($F116)&gt;1,_xll.BondInfo($F116,$G$4),"")</f>
        <v>47149</v>
      </c>
      <c r="I116" s="898" t="s">
        <v>837</v>
      </c>
      <c r="J116" s="655" t="str">
        <f t="array" ref="J116:T116">IF(AND(QueryFlag="ON",NOT(ISNA(I116))),_xll.BondInfo(I116,$J$4:$T$4),"")</f>
        <v/>
      </c>
      <c r="K116" s="656" t="str">
        <v/>
      </c>
      <c r="L116" s="654" t="str">
        <v/>
      </c>
      <c r="M116" s="656" t="str">
        <v/>
      </c>
      <c r="N116" s="656" t="str">
        <v/>
      </c>
      <c r="O116" s="656" t="str">
        <v/>
      </c>
      <c r="P116" s="656" t="str">
        <v/>
      </c>
      <c r="Q116" s="657" t="str">
        <v/>
      </c>
      <c r="R116" s="658" t="str">
        <v/>
      </c>
      <c r="S116" s="655" t="str">
        <v/>
      </c>
      <c r="T116" s="658" t="str">
        <v/>
      </c>
      <c r="U116" s="665" t="str">
        <f>IF(AND(QueryFlag="ON",NOT(ISNA(I116))),_xll.BondOutstanding(I116),"")</f>
        <v/>
      </c>
    </row>
    <row r="117" spans="6:21">
      <c r="F117" s="908" t="s">
        <v>817</v>
      </c>
      <c r="G117" s="917">
        <f>IF(LEN($F117)&gt;1,_xll.BondInfo($F117,$G$4),"")</f>
        <v>47694</v>
      </c>
      <c r="I117" s="898" t="s">
        <v>817</v>
      </c>
      <c r="J117" s="655" t="str">
        <f t="array" ref="J117:T117">IF(AND(QueryFlag="ON",NOT(ISNA(I117))),_xll.BondInfo(I117,$J$4:$T$4),"")</f>
        <v/>
      </c>
      <c r="K117" s="656" t="str">
        <v/>
      </c>
      <c r="L117" s="654" t="str">
        <v/>
      </c>
      <c r="M117" s="656" t="str">
        <v/>
      </c>
      <c r="N117" s="656" t="str">
        <v/>
      </c>
      <c r="O117" s="656" t="str">
        <v/>
      </c>
      <c r="P117" s="656" t="str">
        <v/>
      </c>
      <c r="Q117" s="657" t="str">
        <v/>
      </c>
      <c r="R117" s="658" t="str">
        <v/>
      </c>
      <c r="S117" s="655" t="str">
        <v/>
      </c>
      <c r="T117" s="658" t="str">
        <v/>
      </c>
      <c r="U117" s="665" t="str">
        <f>IF(AND(QueryFlag="ON",NOT(ISNA(I117))),_xll.BondOutstanding(I117),"")</f>
        <v/>
      </c>
    </row>
    <row r="118" spans="6:21">
      <c r="F118" s="908" t="s">
        <v>838</v>
      </c>
      <c r="G118" s="917">
        <f>IF(LEN($F118)&gt;1,_xll.BondInfo($F118,$G$4),"")</f>
        <v>48425</v>
      </c>
      <c r="I118" s="898" t="s">
        <v>838</v>
      </c>
      <c r="J118" s="655" t="str">
        <f t="array" ref="J118:T118">IF(AND(QueryFlag="ON",NOT(ISNA(I118))),_xll.BondInfo(I118,$J$4:$T$4),"")</f>
        <v/>
      </c>
      <c r="K118" s="656" t="str">
        <v/>
      </c>
      <c r="L118" s="654" t="str">
        <v/>
      </c>
      <c r="M118" s="656" t="str">
        <v/>
      </c>
      <c r="N118" s="656" t="str">
        <v/>
      </c>
      <c r="O118" s="656" t="str">
        <v/>
      </c>
      <c r="P118" s="656" t="str">
        <v/>
      </c>
      <c r="Q118" s="657" t="str">
        <v/>
      </c>
      <c r="R118" s="658" t="str">
        <v/>
      </c>
      <c r="S118" s="655" t="str">
        <v/>
      </c>
      <c r="T118" s="658" t="str">
        <v/>
      </c>
      <c r="U118" s="665" t="str">
        <f>IF(AND(QueryFlag="ON",NOT(ISNA(I118))),_xll.BondOutstanding(I118),"")</f>
        <v/>
      </c>
    </row>
    <row r="119" spans="6:21">
      <c r="F119" s="908" t="s">
        <v>949</v>
      </c>
      <c r="G119" s="917">
        <f>IF(LEN($F119)&gt;1,_xll.BondInfo($F119,$G$4),"")</f>
        <v>48790</v>
      </c>
      <c r="I119" s="898" t="s">
        <v>949</v>
      </c>
      <c r="J119" s="655" t="str">
        <f t="array" ref="J119:T119">IF(AND(QueryFlag="ON",NOT(ISNA(I119))),_xll.BondInfo(I119,$J$4:$T$4),"")</f>
        <v/>
      </c>
      <c r="K119" s="656" t="str">
        <v/>
      </c>
      <c r="L119" s="654" t="str">
        <v/>
      </c>
      <c r="M119" s="656" t="str">
        <v/>
      </c>
      <c r="N119" s="656" t="str">
        <v/>
      </c>
      <c r="O119" s="656" t="str">
        <v/>
      </c>
      <c r="P119" s="656" t="str">
        <v/>
      </c>
      <c r="Q119" s="657" t="str">
        <v/>
      </c>
      <c r="R119" s="658" t="str">
        <v/>
      </c>
      <c r="S119" s="655" t="str">
        <v/>
      </c>
      <c r="T119" s="658" t="str">
        <v/>
      </c>
      <c r="U119" s="665" t="str">
        <f>IF(AND(QueryFlag="ON",NOT(ISNA(I119))),_xll.BondOutstanding(I119),"")</f>
        <v/>
      </c>
    </row>
    <row r="120" spans="6:21">
      <c r="F120" s="908" t="s">
        <v>839</v>
      </c>
      <c r="G120" s="917">
        <f>IF(LEN($F120)&gt;1,_xll.BondInfo($F120,$G$4),"")</f>
        <v>50071</v>
      </c>
      <c r="I120" s="898" t="s">
        <v>839</v>
      </c>
      <c r="J120" s="655" t="str">
        <f t="array" ref="J120:T120">IF(AND(QueryFlag="ON",NOT(ISNA(I120))),_xll.BondInfo(I120,$J$4:$T$4),"")</f>
        <v/>
      </c>
      <c r="K120" s="656" t="str">
        <v/>
      </c>
      <c r="L120" s="654" t="str">
        <v/>
      </c>
      <c r="M120" s="656" t="str">
        <v/>
      </c>
      <c r="N120" s="656" t="str">
        <v/>
      </c>
      <c r="O120" s="656" t="str">
        <v/>
      </c>
      <c r="P120" s="656" t="str">
        <v/>
      </c>
      <c r="Q120" s="657" t="str">
        <v/>
      </c>
      <c r="R120" s="658" t="str">
        <v/>
      </c>
      <c r="S120" s="655" t="str">
        <v/>
      </c>
      <c r="T120" s="658" t="str">
        <v/>
      </c>
      <c r="U120" s="665" t="str">
        <f>IF(AND(QueryFlag="ON",NOT(ISNA(I120))),_xll.BondOutstanding(I120),"")</f>
        <v/>
      </c>
    </row>
    <row r="121" spans="6:21">
      <c r="F121" s="908" t="s">
        <v>840</v>
      </c>
      <c r="G121" s="917">
        <f>IF(LEN($F121)&gt;1,_xll.BondInfo($F121,$G$4),"")</f>
        <v>51347</v>
      </c>
      <c r="I121" s="898" t="s">
        <v>840</v>
      </c>
      <c r="J121" s="655" t="str">
        <f t="array" ref="J121:T121">IF(AND(QueryFlag="ON",NOT(ISNA(I121))),_xll.BondInfo(I121,$J$4:$T$4),"")</f>
        <v/>
      </c>
      <c r="K121" s="656" t="str">
        <v/>
      </c>
      <c r="L121" s="654" t="str">
        <v/>
      </c>
      <c r="M121" s="656" t="str">
        <v/>
      </c>
      <c r="N121" s="656" t="str">
        <v/>
      </c>
      <c r="O121" s="656" t="str">
        <v/>
      </c>
      <c r="P121" s="656" t="str">
        <v/>
      </c>
      <c r="Q121" s="657" t="str">
        <v/>
      </c>
      <c r="R121" s="658" t="str">
        <v/>
      </c>
      <c r="S121" s="655" t="str">
        <v/>
      </c>
      <c r="T121" s="658" t="str">
        <v/>
      </c>
      <c r="U121" s="665" t="str">
        <f>IF(AND(QueryFlag="ON",NOT(ISNA(I121))),_xll.BondOutstanding(I121),"")</f>
        <v/>
      </c>
    </row>
    <row r="122" spans="6:21">
      <c r="F122" s="908" t="s">
        <v>841</v>
      </c>
      <c r="G122" s="917">
        <f>IF(LEN($F122)&gt;1,_xll.BondInfo($F122,$G$4),"")</f>
        <v>51712</v>
      </c>
      <c r="I122" s="898" t="s">
        <v>841</v>
      </c>
      <c r="J122" s="655" t="str">
        <f t="array" ref="J122:T122">IF(AND(QueryFlag="ON",NOT(ISNA(I122))),_xll.BondInfo(I122,$J$4:$T$4),"")</f>
        <v/>
      </c>
      <c r="K122" s="656" t="str">
        <v/>
      </c>
      <c r="L122" s="654" t="str">
        <v/>
      </c>
      <c r="M122" s="656" t="str">
        <v/>
      </c>
      <c r="N122" s="656" t="str">
        <v/>
      </c>
      <c r="O122" s="656" t="str">
        <v/>
      </c>
      <c r="P122" s="656" t="str">
        <v/>
      </c>
      <c r="Q122" s="657" t="str">
        <v/>
      </c>
      <c r="R122" s="658" t="str">
        <v/>
      </c>
      <c r="S122" s="655" t="str">
        <v/>
      </c>
      <c r="T122" s="658" t="str">
        <v/>
      </c>
      <c r="U122" s="665" t="str">
        <f>IF(AND(QueryFlag="ON",NOT(ISNA(I122))),_xll.BondOutstanding(I122),"")</f>
        <v/>
      </c>
    </row>
    <row r="123" spans="6:21">
      <c r="F123" s="908" t="s">
        <v>842</v>
      </c>
      <c r="G123" s="917">
        <f>IF(LEN($F123)&gt;1,_xll.BondInfo($F123,$G$4),"")</f>
        <v>52901</v>
      </c>
      <c r="I123" s="898" t="s">
        <v>842</v>
      </c>
      <c r="J123" s="655" t="str">
        <f t="array" ref="J123:T123">IF(AND(QueryFlag="ON",NOT(ISNA(I123))),_xll.BondInfo(I123,$J$4:$T$4),"")</f>
        <v/>
      </c>
      <c r="K123" s="656" t="str">
        <v/>
      </c>
      <c r="L123" s="654" t="str">
        <v/>
      </c>
      <c r="M123" s="656" t="str">
        <v/>
      </c>
      <c r="N123" s="656" t="str">
        <v/>
      </c>
      <c r="O123" s="656" t="str">
        <v/>
      </c>
      <c r="P123" s="656" t="str">
        <v/>
      </c>
      <c r="Q123" s="657" t="str">
        <v/>
      </c>
      <c r="R123" s="658" t="str">
        <v/>
      </c>
      <c r="S123" s="655" t="str">
        <v/>
      </c>
      <c r="T123" s="658" t="str">
        <v/>
      </c>
      <c r="U123" s="665" t="str">
        <f>IF(AND(QueryFlag="ON",NOT(ISNA(I123))),_xll.BondOutstanding(I123),"")</f>
        <v/>
      </c>
    </row>
    <row r="124" spans="6:21">
      <c r="F124" s="908" t="s">
        <v>843</v>
      </c>
      <c r="G124" s="917">
        <f>IF(LEN($F124)&gt;1,_xll.BondInfo($F124,$G$4),"")</f>
        <v>53631</v>
      </c>
      <c r="I124" s="898" t="s">
        <v>843</v>
      </c>
      <c r="J124" s="655" t="str">
        <f t="array" ref="J124:T124">IF(AND(QueryFlag="ON",NOT(ISNA(I124))),_xll.BondInfo(I124,$J$4:$T$4),"")</f>
        <v/>
      </c>
      <c r="K124" s="656" t="str">
        <v/>
      </c>
      <c r="L124" s="654" t="str">
        <v/>
      </c>
      <c r="M124" s="656" t="str">
        <v/>
      </c>
      <c r="N124" s="656" t="str">
        <v/>
      </c>
      <c r="O124" s="656" t="str">
        <v/>
      </c>
      <c r="P124" s="656" t="str">
        <v/>
      </c>
      <c r="Q124" s="657" t="str">
        <v/>
      </c>
      <c r="R124" s="658" t="str">
        <v/>
      </c>
      <c r="S124" s="655" t="str">
        <v/>
      </c>
      <c r="T124" s="658" t="str">
        <v/>
      </c>
      <c r="U124" s="665" t="str">
        <f>IF(AND(QueryFlag="ON",NOT(ISNA(I124))),_xll.BondOutstanding(I124),"")</f>
        <v/>
      </c>
    </row>
    <row r="125" spans="6:21">
      <c r="F125" s="908" t="s">
        <v>1732</v>
      </c>
      <c r="G125" s="917">
        <f>IF(LEN($F125)&gt;1,_xll.BondInfo($F125,$G$4),"")</f>
        <v>54362</v>
      </c>
      <c r="I125" s="898" t="s">
        <v>1732</v>
      </c>
      <c r="J125" s="655" t="str">
        <f t="array" ref="J125:T125">IF(AND(QueryFlag="ON",NOT(ISNA(I125))),_xll.BondInfo(I125,$J$4:$T$4),"")</f>
        <v/>
      </c>
      <c r="K125" s="656" t="str">
        <v/>
      </c>
      <c r="L125" s="654" t="str">
        <v/>
      </c>
      <c r="M125" s="656" t="str">
        <v/>
      </c>
      <c r="N125" s="656" t="str">
        <v/>
      </c>
      <c r="O125" s="656" t="str">
        <v/>
      </c>
      <c r="P125" s="656" t="str">
        <v/>
      </c>
      <c r="Q125" s="657" t="str">
        <v/>
      </c>
      <c r="R125" s="658" t="str">
        <v/>
      </c>
      <c r="S125" s="655" t="str">
        <v/>
      </c>
      <c r="T125" s="658" t="str">
        <v/>
      </c>
      <c r="U125" s="665" t="str">
        <f>IF(AND(QueryFlag="ON",NOT(ISNA(I125))),_xll.BondOutstanding(I125),"")</f>
        <v/>
      </c>
    </row>
    <row r="126" spans="6:21">
      <c r="F126" s="908" t="s">
        <v>1635</v>
      </c>
      <c r="G126" s="917">
        <f>IF(LEN($F126)&gt;1,_xll.BondInfo($F126,$G$4),"")</f>
        <v>60843</v>
      </c>
      <c r="I126" s="898" t="s">
        <v>1635</v>
      </c>
      <c r="J126" s="655" t="str">
        <f t="array" ref="J126:T126">IF(AND(QueryFlag="ON",NOT(ISNA(I126))),_xll.BondInfo(I126,$J$4:$T$4),"")</f>
        <v/>
      </c>
      <c r="K126" s="656" t="str">
        <v/>
      </c>
      <c r="L126" s="654" t="str">
        <v/>
      </c>
      <c r="M126" s="656" t="str">
        <v/>
      </c>
      <c r="N126" s="656" t="str">
        <v/>
      </c>
      <c r="O126" s="656" t="str">
        <v/>
      </c>
      <c r="P126" s="656" t="str">
        <v/>
      </c>
      <c r="Q126" s="657" t="str">
        <v/>
      </c>
      <c r="R126" s="658" t="str">
        <v/>
      </c>
      <c r="S126" s="655" t="str">
        <v/>
      </c>
      <c r="T126" s="658" t="str">
        <v/>
      </c>
      <c r="U126" s="665" t="str">
        <f>IF(AND(QueryFlag="ON",NOT(ISNA(I126))),_xll.BondOutstanding(I126),"")</f>
        <v/>
      </c>
    </row>
    <row r="127" spans="6:21">
      <c r="F127" s="908" t="s">
        <v>790</v>
      </c>
      <c r="G127" s="917">
        <f>IF(LEN($F127)&gt;1,_xll.BondInfo($F127,$G$4),"")</f>
        <v>43175</v>
      </c>
      <c r="I127" s="898" t="s">
        <v>790</v>
      </c>
      <c r="J127" s="655" t="str">
        <f t="array" ref="J127:T127">IF(AND(QueryFlag="ON",NOT(ISNA(I127))),_xll.BondInfo(I127,$J$4:$T$4),"")</f>
        <v/>
      </c>
      <c r="K127" s="656" t="str">
        <v/>
      </c>
      <c r="L127" s="654" t="str">
        <v/>
      </c>
      <c r="M127" s="656" t="str">
        <v/>
      </c>
      <c r="N127" s="656" t="str">
        <v/>
      </c>
      <c r="O127" s="656" t="str">
        <v/>
      </c>
      <c r="P127" s="656" t="str">
        <v/>
      </c>
      <c r="Q127" s="657" t="str">
        <v/>
      </c>
      <c r="R127" s="658" t="str">
        <v/>
      </c>
      <c r="S127" s="655" t="str">
        <v/>
      </c>
      <c r="T127" s="658" t="str">
        <v/>
      </c>
      <c r="U127" s="665" t="str">
        <f>IF(AND(QueryFlag="ON",NOT(ISNA(I127))),_xll.BondOutstanding(I127),"")</f>
        <v/>
      </c>
    </row>
    <row r="128" spans="6:21">
      <c r="F128" s="908" t="s">
        <v>631</v>
      </c>
      <c r="G128" s="917">
        <f>IF(LEN($F128)&gt;1,_xll.BondInfo($F128,$G$4),"")</f>
        <v>43203</v>
      </c>
      <c r="I128" s="898" t="s">
        <v>631</v>
      </c>
      <c r="J128" s="655" t="str">
        <f t="array" ref="J128:T128">IF(AND(QueryFlag="ON",NOT(ISNA(I128))),_xll.BondInfo(I128,$J$4:$T$4),"")</f>
        <v/>
      </c>
      <c r="K128" s="656" t="str">
        <v/>
      </c>
      <c r="L128" s="654" t="str">
        <v/>
      </c>
      <c r="M128" s="656" t="str">
        <v/>
      </c>
      <c r="N128" s="656" t="str">
        <v/>
      </c>
      <c r="O128" s="656" t="str">
        <v/>
      </c>
      <c r="P128" s="656" t="str">
        <v/>
      </c>
      <c r="Q128" s="657" t="str">
        <v/>
      </c>
      <c r="R128" s="658" t="str">
        <v/>
      </c>
      <c r="S128" s="655" t="str">
        <v/>
      </c>
      <c r="T128" s="658" t="str">
        <v/>
      </c>
      <c r="U128" s="665" t="str">
        <f>IF(AND(QueryFlag="ON",NOT(ISNA(I128))),_xll.BondOutstanding(I128),"")</f>
        <v/>
      </c>
    </row>
    <row r="129" spans="6:21">
      <c r="F129" s="908" t="s">
        <v>851</v>
      </c>
      <c r="G129" s="917">
        <f>IF(LEN($F129)&gt;1,_xll.BondInfo($F129,$G$4),"")</f>
        <v>43266</v>
      </c>
      <c r="I129" s="898" t="s">
        <v>851</v>
      </c>
      <c r="J129" s="655" t="str">
        <f t="array" ref="J129:T129">IF(AND(QueryFlag="ON",NOT(ISNA(I129))),_xll.BondInfo(I129,$J$4:$T$4),"")</f>
        <v/>
      </c>
      <c r="K129" s="656" t="str">
        <v/>
      </c>
      <c r="L129" s="654" t="str">
        <v/>
      </c>
      <c r="M129" s="656" t="str">
        <v/>
      </c>
      <c r="N129" s="656" t="str">
        <v/>
      </c>
      <c r="O129" s="656" t="str">
        <v/>
      </c>
      <c r="P129" s="656" t="str">
        <v/>
      </c>
      <c r="Q129" s="657" t="str">
        <v/>
      </c>
      <c r="R129" s="658" t="str">
        <v/>
      </c>
      <c r="S129" s="655" t="str">
        <v/>
      </c>
      <c r="T129" s="658" t="str">
        <v/>
      </c>
      <c r="U129" s="665" t="str">
        <f>IF(AND(QueryFlag="ON",NOT(ISNA(I129))),_xll.BondOutstanding(I129),"")</f>
        <v/>
      </c>
    </row>
    <row r="130" spans="6:21">
      <c r="F130" s="908" t="s">
        <v>632</v>
      </c>
      <c r="G130" s="917">
        <f>IF(LEN($F130)&gt;1,_xll.BondInfo($F130,$G$4),"")</f>
        <v>43285</v>
      </c>
      <c r="I130" s="898" t="s">
        <v>632</v>
      </c>
      <c r="J130" s="655" t="str">
        <f t="array" ref="J130:T130">IF(AND(QueryFlag="ON",NOT(ISNA(I130))),_xll.BondInfo(I130,$J$4:$T$4),"")</f>
        <v/>
      </c>
      <c r="K130" s="656" t="str">
        <v/>
      </c>
      <c r="L130" s="654" t="str">
        <v/>
      </c>
      <c r="M130" s="656" t="str">
        <v/>
      </c>
      <c r="N130" s="656" t="str">
        <v/>
      </c>
      <c r="O130" s="656" t="str">
        <v/>
      </c>
      <c r="P130" s="656" t="str">
        <v/>
      </c>
      <c r="Q130" s="657" t="str">
        <v/>
      </c>
      <c r="R130" s="658" t="str">
        <v/>
      </c>
      <c r="S130" s="655" t="str">
        <v/>
      </c>
      <c r="T130" s="658" t="str">
        <v/>
      </c>
      <c r="U130" s="665" t="str">
        <f>IF(AND(QueryFlag="ON",NOT(ISNA(I130))),_xll.BondOutstanding(I130),"")</f>
        <v/>
      </c>
    </row>
    <row r="131" spans="6:21">
      <c r="F131" s="908" t="s">
        <v>878</v>
      </c>
      <c r="G131" s="917">
        <f>IF(LEN($F131)&gt;1,_xll.BondInfo($F131,$G$4),"")</f>
        <v>43357</v>
      </c>
      <c r="I131" s="898" t="s">
        <v>878</v>
      </c>
      <c r="J131" s="655" t="str">
        <f t="array" ref="J131:T131">IF(AND(QueryFlag="ON",NOT(ISNA(I131))),_xll.BondInfo(I131,$J$4:$T$4),"")</f>
        <v/>
      </c>
      <c r="K131" s="656" t="str">
        <v/>
      </c>
      <c r="L131" s="654" t="str">
        <v/>
      </c>
      <c r="M131" s="656" t="str">
        <v/>
      </c>
      <c r="N131" s="656" t="str">
        <v/>
      </c>
      <c r="O131" s="656" t="str">
        <v/>
      </c>
      <c r="P131" s="656" t="str">
        <v/>
      </c>
      <c r="Q131" s="657" t="str">
        <v/>
      </c>
      <c r="R131" s="658" t="str">
        <v/>
      </c>
      <c r="S131" s="655" t="str">
        <v/>
      </c>
      <c r="T131" s="658" t="str">
        <v/>
      </c>
      <c r="U131" s="665" t="str">
        <f>IF(AND(QueryFlag="ON",NOT(ISNA(I131))),_xll.BondOutstanding(I131),"")</f>
        <v/>
      </c>
    </row>
    <row r="132" spans="6:21">
      <c r="F132" s="908" t="s">
        <v>633</v>
      </c>
      <c r="G132" s="917">
        <f>IF(LEN($F132)&gt;1,_xll.BondInfo($F132,$G$4),"")</f>
        <v>43385</v>
      </c>
      <c r="I132" s="898" t="s">
        <v>633</v>
      </c>
      <c r="J132" s="655" t="str">
        <f t="array" ref="J132:T132">IF(AND(QueryFlag="ON",NOT(ISNA(I132))),_xll.BondInfo(I132,$J$4:$T$4),"")</f>
        <v/>
      </c>
      <c r="K132" s="656" t="str">
        <v/>
      </c>
      <c r="L132" s="654" t="str">
        <v/>
      </c>
      <c r="M132" s="656" t="str">
        <v/>
      </c>
      <c r="N132" s="656" t="str">
        <v/>
      </c>
      <c r="O132" s="656" t="str">
        <v/>
      </c>
      <c r="P132" s="656" t="str">
        <v/>
      </c>
      <c r="Q132" s="657" t="str">
        <v/>
      </c>
      <c r="R132" s="658" t="str">
        <v/>
      </c>
      <c r="S132" s="655" t="str">
        <v/>
      </c>
      <c r="T132" s="658" t="str">
        <v/>
      </c>
      <c r="U132" s="665" t="str">
        <f>IF(AND(QueryFlag="ON",NOT(ISNA(I132))),_xll.BondOutstanding(I132),"")</f>
        <v/>
      </c>
    </row>
    <row r="133" spans="6:21">
      <c r="F133" s="908" t="s">
        <v>887</v>
      </c>
      <c r="G133" s="917">
        <f>IF(LEN($F133)&gt;1,_xll.BondInfo($F133,$G$4),"")</f>
        <v>43448</v>
      </c>
      <c r="I133" s="898" t="s">
        <v>887</v>
      </c>
      <c r="J133" s="655" t="str">
        <f t="array" ref="J133:T133">IF(AND(QueryFlag="ON",NOT(ISNA(I133))),_xll.BondInfo(I133,$J$4:$T$4),"")</f>
        <v/>
      </c>
      <c r="K133" s="656" t="str">
        <v/>
      </c>
      <c r="L133" s="654" t="str">
        <v/>
      </c>
      <c r="M133" s="656" t="str">
        <v/>
      </c>
      <c r="N133" s="656" t="str">
        <v/>
      </c>
      <c r="O133" s="656" t="str">
        <v/>
      </c>
      <c r="P133" s="656" t="str">
        <v/>
      </c>
      <c r="Q133" s="657" t="str">
        <v/>
      </c>
      <c r="R133" s="658" t="str">
        <v/>
      </c>
      <c r="S133" s="655" t="str">
        <v/>
      </c>
      <c r="T133" s="658" t="str">
        <v/>
      </c>
      <c r="U133" s="665" t="str">
        <f>IF(AND(QueryFlag="ON",NOT(ISNA(I133))),_xll.BondOutstanding(I133),"")</f>
        <v/>
      </c>
    </row>
    <row r="134" spans="6:21">
      <c r="F134" s="908" t="s">
        <v>634</v>
      </c>
      <c r="G134" s="917">
        <f>IF(LEN($F134)&gt;1,_xll.BondInfo($F134,$G$4),"")</f>
        <v>43469</v>
      </c>
      <c r="I134" s="898" t="s">
        <v>634</v>
      </c>
      <c r="J134" s="655" t="str">
        <f t="array" ref="J134:T134">IF(AND(QueryFlag="ON",NOT(ISNA(I134))),_xll.BondInfo(I134,$J$4:$T$4),"")</f>
        <v/>
      </c>
      <c r="K134" s="656" t="str">
        <v/>
      </c>
      <c r="L134" s="654" t="str">
        <v/>
      </c>
      <c r="M134" s="656" t="str">
        <v/>
      </c>
      <c r="N134" s="656" t="str">
        <v/>
      </c>
      <c r="O134" s="656" t="str">
        <v/>
      </c>
      <c r="P134" s="656" t="str">
        <v/>
      </c>
      <c r="Q134" s="657" t="str">
        <v/>
      </c>
      <c r="R134" s="658" t="str">
        <v/>
      </c>
      <c r="S134" s="655" t="str">
        <v/>
      </c>
      <c r="T134" s="658" t="str">
        <v/>
      </c>
      <c r="U134" s="665" t="str">
        <f>IF(AND(QueryFlag="ON",NOT(ISNA(I134))),_xll.BondOutstanding(I134),"")</f>
        <v/>
      </c>
    </row>
    <row r="135" spans="6:21">
      <c r="F135" s="908" t="s">
        <v>406</v>
      </c>
      <c r="G135" s="917">
        <f>IF(LEN($F135)&gt;1,_xll.BondInfo($F135,$G$4),"")</f>
        <v>43518</v>
      </c>
      <c r="I135" s="898" t="s">
        <v>406</v>
      </c>
      <c r="J135" s="655" t="str">
        <f t="array" ref="J135:T135">IF(AND(QueryFlag="ON",NOT(ISNA(I135))),_xll.BondInfo(I135,$J$4:$T$4),"")</f>
        <v/>
      </c>
      <c r="K135" s="656" t="str">
        <v/>
      </c>
      <c r="L135" s="654" t="str">
        <v/>
      </c>
      <c r="M135" s="656" t="str">
        <v/>
      </c>
      <c r="N135" s="656" t="str">
        <v/>
      </c>
      <c r="O135" s="656" t="str">
        <v/>
      </c>
      <c r="P135" s="656" t="str">
        <v/>
      </c>
      <c r="Q135" s="657" t="str">
        <v/>
      </c>
      <c r="R135" s="658" t="str">
        <v/>
      </c>
      <c r="S135" s="655" t="str">
        <v/>
      </c>
      <c r="T135" s="658" t="str">
        <v/>
      </c>
      <c r="U135" s="665" t="str">
        <f>IF(AND(QueryFlag="ON",NOT(ISNA(I135))),_xll.BondOutstanding(I135),"")</f>
        <v/>
      </c>
    </row>
    <row r="136" spans="6:21">
      <c r="F136" s="908" t="s">
        <v>915</v>
      </c>
      <c r="G136" s="917">
        <f>IF(LEN($F136)&gt;1,_xll.BondInfo($F136,$G$4),"")</f>
        <v>43539</v>
      </c>
      <c r="I136" s="898" t="s">
        <v>915</v>
      </c>
      <c r="J136" s="655" t="str">
        <f t="array" ref="J136:T136">IF(AND(QueryFlag="ON",NOT(ISNA(I136))),_xll.BondInfo(I136,$J$4:$T$4),"")</f>
        <v/>
      </c>
      <c r="K136" s="656" t="str">
        <v/>
      </c>
      <c r="L136" s="654" t="str">
        <v/>
      </c>
      <c r="M136" s="656" t="str">
        <v/>
      </c>
      <c r="N136" s="656" t="str">
        <v/>
      </c>
      <c r="O136" s="656" t="str">
        <v/>
      </c>
      <c r="P136" s="656" t="str">
        <v/>
      </c>
      <c r="Q136" s="657" t="str">
        <v/>
      </c>
      <c r="R136" s="658" t="str">
        <v/>
      </c>
      <c r="S136" s="655" t="str">
        <v/>
      </c>
      <c r="T136" s="658" t="str">
        <v/>
      </c>
      <c r="U136" s="665" t="str">
        <f>IF(AND(QueryFlag="ON",NOT(ISNA(I136))),_xll.BondOutstanding(I136),"")</f>
        <v/>
      </c>
    </row>
    <row r="137" spans="6:21">
      <c r="F137" s="908" t="s">
        <v>407</v>
      </c>
      <c r="G137" s="917">
        <f>IF(LEN($F137)&gt;1,_xll.BondInfo($F137,$G$4),"")</f>
        <v>43567</v>
      </c>
      <c r="I137" s="898" t="s">
        <v>407</v>
      </c>
      <c r="J137" s="655" t="str">
        <f t="array" ref="J137:T137">IF(AND(QueryFlag="ON",NOT(ISNA(I137))),_xll.BondInfo(I137,$J$4:$T$4),"")</f>
        <v/>
      </c>
      <c r="K137" s="656" t="str">
        <v/>
      </c>
      <c r="L137" s="654" t="str">
        <v/>
      </c>
      <c r="M137" s="656" t="str">
        <v/>
      </c>
      <c r="N137" s="656" t="str">
        <v/>
      </c>
      <c r="O137" s="656" t="str">
        <v/>
      </c>
      <c r="P137" s="656" t="str">
        <v/>
      </c>
      <c r="Q137" s="657" t="str">
        <v/>
      </c>
      <c r="R137" s="658" t="str">
        <v/>
      </c>
      <c r="S137" s="655" t="str">
        <v/>
      </c>
      <c r="T137" s="658" t="str">
        <v/>
      </c>
      <c r="U137" s="665" t="str">
        <f>IF(AND(QueryFlag="ON",NOT(ISNA(I137))),_xll.BondOutstanding(I137),"")</f>
        <v/>
      </c>
    </row>
    <row r="138" spans="6:21">
      <c r="F138" s="908" t="s">
        <v>964</v>
      </c>
      <c r="G138" s="917">
        <f>IF(LEN($F138)&gt;1,_xll.BondInfo($F138,$G$4),"")</f>
        <v>43630</v>
      </c>
      <c r="I138" s="898" t="s">
        <v>964</v>
      </c>
      <c r="J138" s="655" t="str">
        <f t="array" ref="J138:T138">IF(AND(QueryFlag="ON",NOT(ISNA(I138))),_xll.BondInfo(I138,$J$4:$T$4),"")</f>
        <v/>
      </c>
      <c r="K138" s="656" t="str">
        <v/>
      </c>
      <c r="L138" s="654" t="str">
        <v/>
      </c>
      <c r="M138" s="656" t="str">
        <v/>
      </c>
      <c r="N138" s="656" t="str">
        <v/>
      </c>
      <c r="O138" s="656" t="str">
        <v/>
      </c>
      <c r="P138" s="656" t="str">
        <v/>
      </c>
      <c r="Q138" s="657" t="str">
        <v/>
      </c>
      <c r="R138" s="658" t="str">
        <v/>
      </c>
      <c r="S138" s="655" t="str">
        <v/>
      </c>
      <c r="T138" s="658" t="str">
        <v/>
      </c>
      <c r="U138" s="665" t="str">
        <f>IF(AND(QueryFlag="ON",NOT(ISNA(I138))),_xll.BondOutstanding(I138),"")</f>
        <v/>
      </c>
    </row>
    <row r="139" spans="6:21">
      <c r="F139" s="908" t="s">
        <v>635</v>
      </c>
      <c r="G139" s="917">
        <f>IF(LEN($F139)&gt;1,_xll.BondInfo($F139,$G$4),"")</f>
        <v>43650</v>
      </c>
      <c r="I139" s="898" t="s">
        <v>635</v>
      </c>
      <c r="J139" s="655" t="str">
        <f t="array" ref="J139:T139">IF(AND(QueryFlag="ON",NOT(ISNA(I139))),_xll.BondInfo(I139,$J$4:$T$4),"")</f>
        <v/>
      </c>
      <c r="K139" s="656" t="str">
        <v/>
      </c>
      <c r="L139" s="654" t="str">
        <v/>
      </c>
      <c r="M139" s="656" t="str">
        <v/>
      </c>
      <c r="N139" s="656" t="str">
        <v/>
      </c>
      <c r="O139" s="656" t="str">
        <v/>
      </c>
      <c r="P139" s="656" t="str">
        <v/>
      </c>
      <c r="Q139" s="657" t="str">
        <v/>
      </c>
      <c r="R139" s="658" t="str">
        <v/>
      </c>
      <c r="S139" s="655" t="str">
        <v/>
      </c>
      <c r="T139" s="658" t="str">
        <v/>
      </c>
      <c r="U139" s="665" t="str">
        <f>IF(AND(QueryFlag="ON",NOT(ISNA(I139))),_xll.BondOutstanding(I139),"")</f>
        <v/>
      </c>
    </row>
    <row r="140" spans="6:21">
      <c r="F140" s="908" t="s">
        <v>987</v>
      </c>
      <c r="G140" s="917">
        <f>IF(LEN($F140)&gt;1,_xll.BondInfo($F140,$G$4),"")</f>
        <v>43721</v>
      </c>
      <c r="I140" s="898" t="s">
        <v>987</v>
      </c>
      <c r="J140" s="655" t="str">
        <f t="array" ref="J140:T140">IF(AND(QueryFlag="ON",NOT(ISNA(I140))),_xll.BondInfo(I140,$J$4:$T$4),"")</f>
        <v/>
      </c>
      <c r="K140" s="656" t="str">
        <v/>
      </c>
      <c r="L140" s="654" t="str">
        <v/>
      </c>
      <c r="M140" s="656" t="str">
        <v/>
      </c>
      <c r="N140" s="656" t="str">
        <v/>
      </c>
      <c r="O140" s="656" t="str">
        <v/>
      </c>
      <c r="P140" s="656" t="str">
        <v/>
      </c>
      <c r="Q140" s="657" t="str">
        <v/>
      </c>
      <c r="R140" s="658" t="str">
        <v/>
      </c>
      <c r="S140" s="655" t="str">
        <v/>
      </c>
      <c r="T140" s="658" t="str">
        <v/>
      </c>
      <c r="U140" s="665" t="str">
        <f>IF(AND(QueryFlag="ON",NOT(ISNA(I140))),_xll.BondOutstanding(I140),"")</f>
        <v/>
      </c>
    </row>
    <row r="141" spans="6:21">
      <c r="F141" s="908" t="s">
        <v>408</v>
      </c>
      <c r="G141" s="917">
        <f>IF(LEN($F141)&gt;1,_xll.BondInfo($F141,$G$4),"")</f>
        <v>43749</v>
      </c>
      <c r="I141" s="898" t="s">
        <v>408</v>
      </c>
      <c r="J141" s="655" t="str">
        <f t="array" ref="J141:T141">IF(AND(QueryFlag="ON",NOT(ISNA(I141))),_xll.BondInfo(I141,$J$4:$T$4),"")</f>
        <v/>
      </c>
      <c r="K141" s="656" t="str">
        <v/>
      </c>
      <c r="L141" s="654" t="str">
        <v/>
      </c>
      <c r="M141" s="656" t="str">
        <v/>
      </c>
      <c r="N141" s="656" t="str">
        <v/>
      </c>
      <c r="O141" s="656" t="str">
        <v/>
      </c>
      <c r="P141" s="656" t="str">
        <v/>
      </c>
      <c r="Q141" s="657" t="str">
        <v/>
      </c>
      <c r="R141" s="658" t="str">
        <v/>
      </c>
      <c r="S141" s="655" t="str">
        <v/>
      </c>
      <c r="T141" s="658" t="str">
        <v/>
      </c>
      <c r="U141" s="665" t="str">
        <f>IF(AND(QueryFlag="ON",NOT(ISNA(I141))),_xll.BondOutstanding(I141),"")</f>
        <v/>
      </c>
    </row>
    <row r="142" spans="6:21">
      <c r="F142" s="908" t="s">
        <v>1676</v>
      </c>
      <c r="G142" s="917">
        <f>IF(LEN($F142)&gt;1,_xll.BondInfo($F142,$G$4),"")</f>
        <v>43812</v>
      </c>
      <c r="I142" s="898" t="s">
        <v>1676</v>
      </c>
      <c r="J142" s="655" t="str">
        <f t="array" ref="J142:T142">IF(AND(QueryFlag="ON",NOT(ISNA(I142))),_xll.BondInfo(I142,$J$4:$T$4),"")</f>
        <v/>
      </c>
      <c r="K142" s="656" t="str">
        <v/>
      </c>
      <c r="L142" s="654" t="str">
        <v/>
      </c>
      <c r="M142" s="656" t="str">
        <v/>
      </c>
      <c r="N142" s="656" t="str">
        <v/>
      </c>
      <c r="O142" s="656" t="str">
        <v/>
      </c>
      <c r="P142" s="656" t="str">
        <v/>
      </c>
      <c r="Q142" s="657" t="str">
        <v/>
      </c>
      <c r="R142" s="658" t="str">
        <v/>
      </c>
      <c r="S142" s="655" t="str">
        <v/>
      </c>
      <c r="T142" s="658" t="str">
        <v/>
      </c>
      <c r="U142" s="665" t="str">
        <f>IF(AND(QueryFlag="ON",NOT(ISNA(I142))),_xll.BondOutstanding(I142),"")</f>
        <v/>
      </c>
    </row>
    <row r="143" spans="6:21">
      <c r="F143" s="908" t="s">
        <v>636</v>
      </c>
      <c r="G143" s="917">
        <f>IF(LEN($F143)&gt;1,_xll.BondInfo($F143,$G$4),"")</f>
        <v>43834</v>
      </c>
      <c r="I143" s="898" t="s">
        <v>636</v>
      </c>
      <c r="J143" s="655" t="str">
        <f t="array" ref="J143:T143">IF(AND(QueryFlag="ON",NOT(ISNA(I143))),_xll.BondInfo(I143,$J$4:$T$4),"")</f>
        <v/>
      </c>
      <c r="K143" s="656" t="str">
        <v/>
      </c>
      <c r="L143" s="654" t="str">
        <v/>
      </c>
      <c r="M143" s="656" t="str">
        <v/>
      </c>
      <c r="N143" s="656" t="str">
        <v/>
      </c>
      <c r="O143" s="656" t="str">
        <v/>
      </c>
      <c r="P143" s="656" t="str">
        <v/>
      </c>
      <c r="Q143" s="657" t="str">
        <v/>
      </c>
      <c r="R143" s="658" t="str">
        <v/>
      </c>
      <c r="S143" s="655" t="str">
        <v/>
      </c>
      <c r="T143" s="658" t="str">
        <v/>
      </c>
      <c r="U143" s="665" t="str">
        <f>IF(AND(QueryFlag="ON",NOT(ISNA(I143))),_xll.BondOutstanding(I143),"")</f>
        <v/>
      </c>
    </row>
    <row r="144" spans="6:21">
      <c r="F144" s="908" t="s">
        <v>1729</v>
      </c>
      <c r="G144" s="917">
        <f>IF(LEN($F144)&gt;1,_xll.BondInfo($F144,$G$4),"")</f>
        <v>43903</v>
      </c>
      <c r="I144" s="898" t="s">
        <v>1729</v>
      </c>
      <c r="J144" s="655" t="str">
        <f t="array" ref="J144:T144">IF(AND(QueryFlag="ON",NOT(ISNA(I144))),_xll.BondInfo(I144,$J$4:$T$4),"")</f>
        <v/>
      </c>
      <c r="K144" s="656" t="str">
        <v/>
      </c>
      <c r="L144" s="654" t="str">
        <v/>
      </c>
      <c r="M144" s="656" t="str">
        <v/>
      </c>
      <c r="N144" s="656" t="str">
        <v/>
      </c>
      <c r="O144" s="656" t="str">
        <v/>
      </c>
      <c r="P144" s="656" t="str">
        <v/>
      </c>
      <c r="Q144" s="657" t="str">
        <v/>
      </c>
      <c r="R144" s="658" t="str">
        <v/>
      </c>
      <c r="S144" s="655" t="str">
        <v/>
      </c>
      <c r="T144" s="658" t="str">
        <v/>
      </c>
      <c r="U144" s="665" t="str">
        <f>IF(AND(QueryFlag="ON",NOT(ISNA(I144))),_xll.BondOutstanding(I144),"")</f>
        <v/>
      </c>
    </row>
    <row r="145" spans="6:21">
      <c r="F145" s="908" t="s">
        <v>573</v>
      </c>
      <c r="G145" s="917">
        <f>IF(LEN($F145)&gt;1,_xll.BondInfo($F145,$G$4),"")</f>
        <v>43938</v>
      </c>
      <c r="I145" s="898" t="s">
        <v>573</v>
      </c>
      <c r="J145" s="655" t="str">
        <f t="array" ref="J145:T145">IF(AND(QueryFlag="ON",NOT(ISNA(I145))),_xll.BondInfo(I145,$J$4:$T$4),"")</f>
        <v/>
      </c>
      <c r="K145" s="656" t="str">
        <v/>
      </c>
      <c r="L145" s="654" t="str">
        <v/>
      </c>
      <c r="M145" s="656" t="str">
        <v/>
      </c>
      <c r="N145" s="656" t="str">
        <v/>
      </c>
      <c r="O145" s="656" t="str">
        <v/>
      </c>
      <c r="P145" s="656" t="str">
        <v/>
      </c>
      <c r="Q145" s="657" t="str">
        <v/>
      </c>
      <c r="R145" s="658" t="str">
        <v/>
      </c>
      <c r="S145" s="655" t="str">
        <v/>
      </c>
      <c r="T145" s="658" t="str">
        <v/>
      </c>
      <c r="U145" s="665" t="str">
        <f>IF(AND(QueryFlag="ON",NOT(ISNA(I145))),_xll.BondOutstanding(I145),"")</f>
        <v/>
      </c>
    </row>
    <row r="146" spans="6:21">
      <c r="F146" s="908" t="s">
        <v>637</v>
      </c>
      <c r="G146" s="917">
        <f>IF(LEN($F146)&gt;1,_xll.BondInfo($F146,$G$4),"")</f>
        <v>44016</v>
      </c>
      <c r="I146" s="898" t="s">
        <v>637</v>
      </c>
      <c r="J146" s="655" t="str">
        <f t="array" ref="J146:T146">IF(AND(QueryFlag="ON",NOT(ISNA(I146))),_xll.BondInfo(I146,$J$4:$T$4),"")</f>
        <v/>
      </c>
      <c r="K146" s="656" t="str">
        <v/>
      </c>
      <c r="L146" s="654" t="str">
        <v/>
      </c>
      <c r="M146" s="656" t="str">
        <v/>
      </c>
      <c r="N146" s="656" t="str">
        <v/>
      </c>
      <c r="O146" s="656" t="str">
        <v/>
      </c>
      <c r="P146" s="656" t="str">
        <v/>
      </c>
      <c r="Q146" s="657" t="str">
        <v/>
      </c>
      <c r="R146" s="658" t="str">
        <v/>
      </c>
      <c r="S146" s="655" t="str">
        <v/>
      </c>
      <c r="T146" s="658" t="str">
        <v/>
      </c>
      <c r="U146" s="665" t="str">
        <f>IF(AND(QueryFlag="ON",NOT(ISNA(I146))),_xll.BondOutstanding(I146),"")</f>
        <v/>
      </c>
    </row>
    <row r="147" spans="6:21">
      <c r="F147" s="908" t="s">
        <v>638</v>
      </c>
      <c r="G147" s="917">
        <f>IF(LEN($F147)&gt;1,_xll.BondInfo($F147,$G$4),"")</f>
        <v>44078</v>
      </c>
      <c r="I147" s="898" t="s">
        <v>638</v>
      </c>
      <c r="J147" s="655" t="str">
        <f t="array" ref="J147:T147">IF(AND(QueryFlag="ON",NOT(ISNA(I147))),_xll.BondInfo(I147,$J$4:$T$4),"")</f>
        <v/>
      </c>
      <c r="K147" s="656" t="str">
        <v/>
      </c>
      <c r="L147" s="654" t="str">
        <v/>
      </c>
      <c r="M147" s="656" t="str">
        <v/>
      </c>
      <c r="N147" s="656" t="str">
        <v/>
      </c>
      <c r="O147" s="656" t="str">
        <v/>
      </c>
      <c r="P147" s="656" t="str">
        <v/>
      </c>
      <c r="Q147" s="657" t="str">
        <v/>
      </c>
      <c r="R147" s="658" t="str">
        <v/>
      </c>
      <c r="S147" s="655" t="str">
        <v/>
      </c>
      <c r="T147" s="658" t="str">
        <v/>
      </c>
      <c r="U147" s="665" t="str">
        <f>IF(AND(QueryFlag="ON",NOT(ISNA(I147))),_xll.BondOutstanding(I147),"")</f>
        <v/>
      </c>
    </row>
    <row r="148" spans="6:21">
      <c r="F148" s="908" t="s">
        <v>739</v>
      </c>
      <c r="G148" s="917">
        <f>IF(LEN($F148)&gt;1,_xll.BondInfo($F148,$G$4),"")</f>
        <v>44120</v>
      </c>
      <c r="I148" s="898" t="s">
        <v>739</v>
      </c>
      <c r="J148" s="655" t="str">
        <f t="array" ref="J148:T148">IF(AND(QueryFlag="ON",NOT(ISNA(I148))),_xll.BondInfo(I148,$J$4:$T$4),"")</f>
        <v/>
      </c>
      <c r="K148" s="656" t="str">
        <v/>
      </c>
      <c r="L148" s="654" t="str">
        <v/>
      </c>
      <c r="M148" s="656" t="str">
        <v/>
      </c>
      <c r="N148" s="656" t="str">
        <v/>
      </c>
      <c r="O148" s="656" t="str">
        <v/>
      </c>
      <c r="P148" s="656" t="str">
        <v/>
      </c>
      <c r="Q148" s="657" t="str">
        <v/>
      </c>
      <c r="R148" s="658" t="str">
        <v/>
      </c>
      <c r="S148" s="655" t="str">
        <v/>
      </c>
      <c r="T148" s="658" t="str">
        <v/>
      </c>
      <c r="U148" s="665" t="str">
        <f>IF(AND(QueryFlag="ON",NOT(ISNA(I148))),_xll.BondOutstanding(I148),"")</f>
        <v/>
      </c>
    </row>
    <row r="149" spans="6:21">
      <c r="F149" s="908" t="s">
        <v>639</v>
      </c>
      <c r="G149" s="917">
        <f>IF(LEN($F149)&gt;1,_xll.BondInfo($F149,$G$4),"")</f>
        <v>44200</v>
      </c>
      <c r="I149" s="898" t="s">
        <v>639</v>
      </c>
      <c r="J149" s="655" t="str">
        <f t="array" ref="J149:T149">IF(AND(QueryFlag="ON",NOT(ISNA(I149))),_xll.BondInfo(I149,$J$4:$T$4),"")</f>
        <v/>
      </c>
      <c r="K149" s="656" t="str">
        <v/>
      </c>
      <c r="L149" s="654" t="str">
        <v/>
      </c>
      <c r="M149" s="656" t="str">
        <v/>
      </c>
      <c r="N149" s="656" t="str">
        <v/>
      </c>
      <c r="O149" s="656" t="str">
        <v/>
      </c>
      <c r="P149" s="656" t="str">
        <v/>
      </c>
      <c r="Q149" s="657" t="str">
        <v/>
      </c>
      <c r="R149" s="658" t="str">
        <v/>
      </c>
      <c r="S149" s="655" t="str">
        <v/>
      </c>
      <c r="T149" s="658" t="str">
        <v/>
      </c>
      <c r="U149" s="665" t="str">
        <f>IF(AND(QueryFlag="ON",NOT(ISNA(I149))),_xll.BondOutstanding(I149),"")</f>
        <v/>
      </c>
    </row>
    <row r="150" spans="6:21">
      <c r="F150" s="908" t="s">
        <v>792</v>
      </c>
      <c r="G150" s="917">
        <f>IF(LEN($F150)&gt;1,_xll.BondInfo($F150,$G$4),"")</f>
        <v>44295</v>
      </c>
      <c r="I150" s="898" t="s">
        <v>792</v>
      </c>
      <c r="J150" s="655" t="str">
        <f t="array" ref="J150:T150">IF(AND(QueryFlag="ON",NOT(ISNA(I150))),_xll.BondInfo(I150,$J$4:$T$4),"")</f>
        <v/>
      </c>
      <c r="K150" s="656" t="str">
        <v/>
      </c>
      <c r="L150" s="654" t="str">
        <v/>
      </c>
      <c r="M150" s="656" t="str">
        <v/>
      </c>
      <c r="N150" s="656" t="str">
        <v/>
      </c>
      <c r="O150" s="656" t="str">
        <v/>
      </c>
      <c r="P150" s="656" t="str">
        <v/>
      </c>
      <c r="Q150" s="657" t="str">
        <v/>
      </c>
      <c r="R150" s="658" t="str">
        <v/>
      </c>
      <c r="S150" s="655" t="str">
        <v/>
      </c>
      <c r="T150" s="658" t="str">
        <v/>
      </c>
      <c r="U150" s="665" t="str">
        <f>IF(AND(QueryFlag="ON",NOT(ISNA(I150))),_xll.BondOutstanding(I150),"")</f>
        <v/>
      </c>
    </row>
    <row r="151" spans="6:21">
      <c r="F151" s="908" t="s">
        <v>640</v>
      </c>
      <c r="G151" s="917">
        <f>IF(LEN($F151)&gt;1,_xll.BondInfo($F151,$G$4),"")</f>
        <v>44381</v>
      </c>
      <c r="I151" s="898" t="s">
        <v>640</v>
      </c>
      <c r="J151" s="655" t="str">
        <f t="array" ref="J151:T151">IF(AND(QueryFlag="ON",NOT(ISNA(I151))),_xll.BondInfo(I151,$J$4:$T$4),"")</f>
        <v/>
      </c>
      <c r="K151" s="656" t="str">
        <v/>
      </c>
      <c r="L151" s="654" t="str">
        <v/>
      </c>
      <c r="M151" s="656" t="str">
        <v/>
      </c>
      <c r="N151" s="656" t="str">
        <v/>
      </c>
      <c r="O151" s="656" t="str">
        <v/>
      </c>
      <c r="P151" s="656" t="str">
        <v/>
      </c>
      <c r="Q151" s="657" t="str">
        <v/>
      </c>
      <c r="R151" s="658" t="str">
        <v/>
      </c>
      <c r="S151" s="655" t="str">
        <v/>
      </c>
      <c r="T151" s="658" t="str">
        <v/>
      </c>
      <c r="U151" s="665" t="str">
        <f>IF(AND(QueryFlag="ON",NOT(ISNA(I151))),_xll.BondOutstanding(I151),"")</f>
        <v/>
      </c>
    </row>
    <row r="152" spans="6:21">
      <c r="F152" s="908" t="s">
        <v>641</v>
      </c>
      <c r="G152" s="917">
        <f>IF(LEN($F152)&gt;1,_xll.BondInfo($F152,$G$4),"")</f>
        <v>44443</v>
      </c>
      <c r="I152" s="898" t="s">
        <v>641</v>
      </c>
      <c r="J152" s="655" t="str">
        <f t="array" ref="J152:T152">IF(AND(QueryFlag="ON",NOT(ISNA(I152))),_xll.BondInfo(I152,$J$4:$T$4),"")</f>
        <v/>
      </c>
      <c r="K152" s="656" t="str">
        <v/>
      </c>
      <c r="L152" s="654" t="str">
        <v/>
      </c>
      <c r="M152" s="656" t="str">
        <v/>
      </c>
      <c r="N152" s="656" t="str">
        <v/>
      </c>
      <c r="O152" s="656" t="str">
        <v/>
      </c>
      <c r="P152" s="656" t="str">
        <v/>
      </c>
      <c r="Q152" s="657" t="str">
        <v/>
      </c>
      <c r="R152" s="658" t="str">
        <v/>
      </c>
      <c r="S152" s="655" t="str">
        <v/>
      </c>
      <c r="T152" s="658" t="str">
        <v/>
      </c>
      <c r="U152" s="665" t="str">
        <f>IF(AND(QueryFlag="ON",NOT(ISNA(I152))),_xll.BondOutstanding(I152),"")</f>
        <v/>
      </c>
    </row>
    <row r="153" spans="6:21">
      <c r="F153" s="908" t="s">
        <v>879</v>
      </c>
      <c r="G153" s="917">
        <f>IF(LEN($F153)&gt;1,_xll.BondInfo($F153,$G$4),"")</f>
        <v>44477</v>
      </c>
      <c r="I153" s="898" t="s">
        <v>879</v>
      </c>
      <c r="J153" s="655" t="str">
        <f t="array" ref="J153:T153">IF(AND(QueryFlag="ON",NOT(ISNA(I153))),_xll.BondInfo(I153,$J$4:$T$4),"")</f>
        <v/>
      </c>
      <c r="K153" s="656" t="str">
        <v/>
      </c>
      <c r="L153" s="654" t="str">
        <v/>
      </c>
      <c r="M153" s="656" t="str">
        <v/>
      </c>
      <c r="N153" s="656" t="str">
        <v/>
      </c>
      <c r="O153" s="656" t="str">
        <v/>
      </c>
      <c r="P153" s="656" t="str">
        <v/>
      </c>
      <c r="Q153" s="657" t="str">
        <v/>
      </c>
      <c r="R153" s="658" t="str">
        <v/>
      </c>
      <c r="S153" s="655" t="str">
        <v/>
      </c>
      <c r="T153" s="658" t="str">
        <v/>
      </c>
      <c r="U153" s="665" t="str">
        <f>IF(AND(QueryFlag="ON",NOT(ISNA(I153))),_xll.BondOutstanding(I153),"")</f>
        <v/>
      </c>
    </row>
    <row r="154" spans="6:21">
      <c r="F154" s="908" t="s">
        <v>642</v>
      </c>
      <c r="G154" s="917">
        <f>IF(LEN($F154)&gt;1,_xll.BondInfo($F154,$G$4),"")</f>
        <v>44565</v>
      </c>
      <c r="I154" s="898" t="s">
        <v>642</v>
      </c>
      <c r="J154" s="655" t="str">
        <f t="array" ref="J154:T154">IF(AND(QueryFlag="ON",NOT(ISNA(I154))),_xll.BondInfo(I154,$J$4:$T$4),"")</f>
        <v/>
      </c>
      <c r="K154" s="656" t="str">
        <v/>
      </c>
      <c r="L154" s="654" t="str">
        <v/>
      </c>
      <c r="M154" s="656" t="str">
        <v/>
      </c>
      <c r="N154" s="656" t="str">
        <v/>
      </c>
      <c r="O154" s="656" t="str">
        <v/>
      </c>
      <c r="P154" s="656" t="str">
        <v/>
      </c>
      <c r="Q154" s="657" t="str">
        <v/>
      </c>
      <c r="R154" s="658" t="str">
        <v/>
      </c>
      <c r="S154" s="655" t="str">
        <v/>
      </c>
      <c r="T154" s="658" t="str">
        <v/>
      </c>
      <c r="U154" s="665" t="str">
        <f>IF(AND(QueryFlag="ON",NOT(ISNA(I154))),_xll.BondOutstanding(I154),"")</f>
        <v/>
      </c>
    </row>
    <row r="155" spans="6:21">
      <c r="F155" s="908" t="s">
        <v>917</v>
      </c>
      <c r="G155" s="917">
        <f>IF(LEN($F155)&gt;1,_xll.BondInfo($F155,$G$4),"")</f>
        <v>44659</v>
      </c>
      <c r="I155" s="898" t="s">
        <v>917</v>
      </c>
      <c r="J155" s="655" t="str">
        <f t="array" ref="J155:T155">IF(AND(QueryFlag="ON",NOT(ISNA(I155))),_xll.BondInfo(I155,$J$4:$T$4),"")</f>
        <v/>
      </c>
      <c r="K155" s="656" t="str">
        <v/>
      </c>
      <c r="L155" s="654" t="str">
        <v/>
      </c>
      <c r="M155" s="656" t="str">
        <v/>
      </c>
      <c r="N155" s="656" t="str">
        <v/>
      </c>
      <c r="O155" s="656" t="str">
        <v/>
      </c>
      <c r="P155" s="656" t="str">
        <v/>
      </c>
      <c r="Q155" s="657" t="str">
        <v/>
      </c>
      <c r="R155" s="658" t="str">
        <v/>
      </c>
      <c r="S155" s="655" t="str">
        <v/>
      </c>
      <c r="T155" s="658" t="str">
        <v/>
      </c>
      <c r="U155" s="665" t="str">
        <f>IF(AND(QueryFlag="ON",NOT(ISNA(I155))),_xll.BondOutstanding(I155),"")</f>
        <v/>
      </c>
    </row>
    <row r="156" spans="6:21">
      <c r="F156" s="908" t="s">
        <v>643</v>
      </c>
      <c r="G156" s="917">
        <f>IF(LEN($F156)&gt;1,_xll.BondInfo($F156,$G$4),"")</f>
        <v>44746</v>
      </c>
      <c r="I156" s="898" t="s">
        <v>643</v>
      </c>
      <c r="J156" s="655" t="str">
        <f t="array" ref="J156:T156">IF(AND(QueryFlag="ON",NOT(ISNA(I156))),_xll.BondInfo(I156,$J$4:$T$4),"")</f>
        <v/>
      </c>
      <c r="K156" s="656" t="str">
        <v/>
      </c>
      <c r="L156" s="654" t="str">
        <v/>
      </c>
      <c r="M156" s="656" t="str">
        <v/>
      </c>
      <c r="N156" s="656" t="str">
        <v/>
      </c>
      <c r="O156" s="656" t="str">
        <v/>
      </c>
      <c r="P156" s="656" t="str">
        <v/>
      </c>
      <c r="Q156" s="657" t="str">
        <v/>
      </c>
      <c r="R156" s="658" t="str">
        <v/>
      </c>
      <c r="S156" s="655" t="str">
        <v/>
      </c>
      <c r="T156" s="658" t="str">
        <v/>
      </c>
      <c r="U156" s="665" t="str">
        <f>IF(AND(QueryFlag="ON",NOT(ISNA(I156))),_xll.BondOutstanding(I156),"")</f>
        <v/>
      </c>
    </row>
    <row r="157" spans="6:21">
      <c r="F157" s="908" t="s">
        <v>644</v>
      </c>
      <c r="G157" s="917">
        <f>IF(LEN($F157)&gt;1,_xll.BondInfo($F157,$G$4),"")</f>
        <v>44808</v>
      </c>
      <c r="I157" s="898" t="s">
        <v>644</v>
      </c>
      <c r="J157" s="655" t="str">
        <f t="array" ref="J157:T157">IF(AND(QueryFlag="ON",NOT(ISNA(I157))),_xll.BondInfo(I157,$J$4:$T$4),"")</f>
        <v/>
      </c>
      <c r="K157" s="656" t="str">
        <v/>
      </c>
      <c r="L157" s="654" t="str">
        <v/>
      </c>
      <c r="M157" s="656" t="str">
        <v/>
      </c>
      <c r="N157" s="656" t="str">
        <v/>
      </c>
      <c r="O157" s="656" t="str">
        <v/>
      </c>
      <c r="P157" s="656" t="str">
        <v/>
      </c>
      <c r="Q157" s="657" t="str">
        <v/>
      </c>
      <c r="R157" s="658" t="str">
        <v/>
      </c>
      <c r="S157" s="655" t="str">
        <v/>
      </c>
      <c r="T157" s="658" t="str">
        <v/>
      </c>
      <c r="U157" s="665" t="str">
        <f>IF(AND(QueryFlag="ON",NOT(ISNA(I157))),_xll.BondOutstanding(I157),"")</f>
        <v/>
      </c>
    </row>
    <row r="158" spans="6:21">
      <c r="F158" s="908" t="s">
        <v>989</v>
      </c>
      <c r="G158" s="917">
        <f>IF(LEN($F158)&gt;1,_xll.BondInfo($F158,$G$4),"")</f>
        <v>44841</v>
      </c>
      <c r="I158" s="898" t="s">
        <v>989</v>
      </c>
      <c r="J158" s="655" t="str">
        <f t="array" ref="J158:T158">IF(AND(QueryFlag="ON",NOT(ISNA(I158))),_xll.BondInfo(I158,$J$4:$T$4),"")</f>
        <v/>
      </c>
      <c r="K158" s="656" t="str">
        <v/>
      </c>
      <c r="L158" s="654" t="str">
        <v/>
      </c>
      <c r="M158" s="656" t="str">
        <v/>
      </c>
      <c r="N158" s="656" t="str">
        <v/>
      </c>
      <c r="O158" s="656" t="str">
        <v/>
      </c>
      <c r="P158" s="656" t="str">
        <v/>
      </c>
      <c r="Q158" s="657" t="str">
        <v/>
      </c>
      <c r="R158" s="658" t="str">
        <v/>
      </c>
      <c r="S158" s="655" t="str">
        <v/>
      </c>
      <c r="T158" s="658" t="str">
        <v/>
      </c>
      <c r="U158" s="665" t="str">
        <f>IF(AND(QueryFlag="ON",NOT(ISNA(I158))),_xll.BondOutstanding(I158),"")</f>
        <v/>
      </c>
    </row>
    <row r="159" spans="6:21">
      <c r="F159" s="908" t="s">
        <v>645</v>
      </c>
      <c r="G159" s="917">
        <f>IF(LEN($F159)&gt;1,_xll.BondInfo($F159,$G$4),"")</f>
        <v>44972</v>
      </c>
      <c r="I159" s="898" t="s">
        <v>645</v>
      </c>
      <c r="J159" s="655" t="str">
        <f t="array" ref="J159:T159">IF(AND(QueryFlag="ON",NOT(ISNA(I159))),_xll.BondInfo(I159,$J$4:$T$4),"")</f>
        <v/>
      </c>
      <c r="K159" s="656" t="str">
        <v/>
      </c>
      <c r="L159" s="654" t="str">
        <v/>
      </c>
      <c r="M159" s="656" t="str">
        <v/>
      </c>
      <c r="N159" s="656" t="str">
        <v/>
      </c>
      <c r="O159" s="656" t="str">
        <v/>
      </c>
      <c r="P159" s="656" t="str">
        <v/>
      </c>
      <c r="Q159" s="657" t="str">
        <v/>
      </c>
      <c r="R159" s="658" t="str">
        <v/>
      </c>
      <c r="S159" s="655" t="str">
        <v/>
      </c>
      <c r="T159" s="658" t="str">
        <v/>
      </c>
      <c r="U159" s="665" t="str">
        <f>IF(AND(QueryFlag="ON",NOT(ISNA(I159))),_xll.BondOutstanding(I159),"")</f>
        <v/>
      </c>
    </row>
    <row r="160" spans="6:21">
      <c r="F160" s="908" t="s">
        <v>1720</v>
      </c>
      <c r="G160" s="917">
        <f>IF(LEN($F160)&gt;1,_xll.BondInfo($F160,$G$4),"")</f>
        <v>45030</v>
      </c>
      <c r="I160" s="898" t="s">
        <v>1720</v>
      </c>
      <c r="J160" s="655" t="str">
        <f t="array" ref="J160:T160">IF(AND(QueryFlag="ON",NOT(ISNA(I160))),_xll.BondInfo(I160,$J$4:$T$4),"")</f>
        <v/>
      </c>
      <c r="K160" s="656" t="str">
        <v/>
      </c>
      <c r="L160" s="654" t="str">
        <v/>
      </c>
      <c r="M160" s="656" t="str">
        <v/>
      </c>
      <c r="N160" s="656" t="str">
        <v/>
      </c>
      <c r="O160" s="656" t="str">
        <v/>
      </c>
      <c r="P160" s="656" t="str">
        <v/>
      </c>
      <c r="Q160" s="657" t="str">
        <v/>
      </c>
      <c r="R160" s="658" t="str">
        <v/>
      </c>
      <c r="S160" s="655" t="str">
        <v/>
      </c>
      <c r="T160" s="658" t="str">
        <v/>
      </c>
      <c r="U160" s="665" t="str">
        <f>IF(AND(QueryFlag="ON",NOT(ISNA(I160))),_xll.BondOutstanding(I160),"")</f>
        <v/>
      </c>
    </row>
    <row r="161" spans="6:21">
      <c r="F161" s="908" t="s">
        <v>646</v>
      </c>
      <c r="G161" s="917">
        <f>IF(LEN($F161)&gt;1,_xll.BondInfo($F161,$G$4),"")</f>
        <v>45061</v>
      </c>
      <c r="I161" s="898" t="s">
        <v>646</v>
      </c>
      <c r="J161" s="655" t="str">
        <f t="array" ref="J161:T161">IF(AND(QueryFlag="ON",NOT(ISNA(I161))),_xll.BondInfo(I161,$J$4:$T$4),"")</f>
        <v/>
      </c>
      <c r="K161" s="656" t="str">
        <v/>
      </c>
      <c r="L161" s="654" t="str">
        <v/>
      </c>
      <c r="M161" s="656" t="str">
        <v/>
      </c>
      <c r="N161" s="656" t="str">
        <v/>
      </c>
      <c r="O161" s="656" t="str">
        <v/>
      </c>
      <c r="P161" s="656" t="str">
        <v/>
      </c>
      <c r="Q161" s="657" t="str">
        <v/>
      </c>
      <c r="R161" s="658" t="str">
        <v/>
      </c>
      <c r="S161" s="655" t="str">
        <v/>
      </c>
      <c r="T161" s="658" t="str">
        <v/>
      </c>
      <c r="U161" s="665" t="str">
        <f>IF(AND(QueryFlag="ON",NOT(ISNA(I161))),_xll.BondOutstanding(I161),"")</f>
        <v/>
      </c>
    </row>
    <row r="162" spans="6:21">
      <c r="F162" s="908" t="s">
        <v>647</v>
      </c>
      <c r="G162" s="917">
        <f>IF(LEN($F162)&gt;1,_xll.BondInfo($F162,$G$4),"")</f>
        <v>45153</v>
      </c>
      <c r="I162" s="898" t="s">
        <v>647</v>
      </c>
      <c r="J162" s="655" t="str">
        <f t="array" ref="J162:T162">IF(AND(QueryFlag="ON",NOT(ISNA(I162))),_xll.BondInfo(I162,$J$4:$T$4),"")</f>
        <v/>
      </c>
      <c r="K162" s="656" t="str">
        <v/>
      </c>
      <c r="L162" s="654" t="str">
        <v/>
      </c>
      <c r="M162" s="656" t="str">
        <v/>
      </c>
      <c r="N162" s="656" t="str">
        <v/>
      </c>
      <c r="O162" s="656" t="str">
        <v/>
      </c>
      <c r="P162" s="656" t="str">
        <v/>
      </c>
      <c r="Q162" s="657" t="str">
        <v/>
      </c>
      <c r="R162" s="658" t="str">
        <v/>
      </c>
      <c r="S162" s="655" t="str">
        <v/>
      </c>
      <c r="T162" s="658" t="str">
        <v/>
      </c>
      <c r="U162" s="665" t="str">
        <f>IF(AND(QueryFlag="ON",NOT(ISNA(I162))),_xll.BondOutstanding(I162),"")</f>
        <v/>
      </c>
    </row>
    <row r="163" spans="6:21">
      <c r="F163" s="908" t="s">
        <v>648</v>
      </c>
      <c r="G163" s="917">
        <f>IF(LEN($F163)&gt;1,_xll.BondInfo($F163,$G$4),"")</f>
        <v>45295</v>
      </c>
      <c r="I163" s="898" t="s">
        <v>648</v>
      </c>
      <c r="J163" s="655" t="str">
        <f t="array" ref="J163:T163">IF(AND(QueryFlag="ON",NOT(ISNA(I163))),_xll.BondInfo(I163,$J$4:$T$4),"")</f>
        <v/>
      </c>
      <c r="K163" s="656" t="str">
        <v/>
      </c>
      <c r="L163" s="654" t="str">
        <v/>
      </c>
      <c r="M163" s="656" t="str">
        <v/>
      </c>
      <c r="N163" s="656" t="str">
        <v/>
      </c>
      <c r="O163" s="656" t="str">
        <v/>
      </c>
      <c r="P163" s="656" t="str">
        <v/>
      </c>
      <c r="Q163" s="657" t="str">
        <v/>
      </c>
      <c r="R163" s="658" t="str">
        <v/>
      </c>
      <c r="S163" s="655" t="str">
        <v/>
      </c>
      <c r="T163" s="658" t="str">
        <v/>
      </c>
      <c r="U163" s="665" t="str">
        <f>IF(AND(QueryFlag="ON",NOT(ISNA(I163))),_xll.BondOutstanding(I163),"")</f>
        <v/>
      </c>
    </row>
    <row r="164" spans="6:21">
      <c r="F164" s="908" t="s">
        <v>409</v>
      </c>
      <c r="G164" s="917">
        <f>IF(LEN($F164)&gt;1,_xll.BondInfo($F164,$G$4),"")</f>
        <v>45337</v>
      </c>
      <c r="I164" s="898" t="s">
        <v>409</v>
      </c>
      <c r="J164" s="655" t="str">
        <f t="array" ref="J164:T164">IF(AND(QueryFlag="ON",NOT(ISNA(I164))),_xll.BondInfo(I164,$J$4:$T$4),"")</f>
        <v/>
      </c>
      <c r="K164" s="656" t="str">
        <v/>
      </c>
      <c r="L164" s="654" t="str">
        <v/>
      </c>
      <c r="M164" s="656" t="str">
        <v/>
      </c>
      <c r="N164" s="656" t="str">
        <v/>
      </c>
      <c r="O164" s="656" t="str">
        <v/>
      </c>
      <c r="P164" s="656" t="str">
        <v/>
      </c>
      <c r="Q164" s="657" t="str">
        <v/>
      </c>
      <c r="R164" s="658" t="str">
        <v/>
      </c>
      <c r="S164" s="655" t="str">
        <v/>
      </c>
      <c r="T164" s="658" t="str">
        <v/>
      </c>
      <c r="U164" s="665" t="str">
        <f>IF(AND(QueryFlag="ON",NOT(ISNA(I164))),_xll.BondOutstanding(I164),"")</f>
        <v/>
      </c>
    </row>
    <row r="165" spans="6:21">
      <c r="F165" s="908" t="s">
        <v>410</v>
      </c>
      <c r="G165" s="917">
        <f>IF(LEN($F165)&gt;1,_xll.BondInfo($F165,$G$4),"")</f>
        <v>45427</v>
      </c>
      <c r="I165" s="898" t="s">
        <v>410</v>
      </c>
      <c r="J165" s="655" t="str">
        <f t="array" ref="J165:T165">IF(AND(QueryFlag="ON",NOT(ISNA(I165))),_xll.BondInfo(I165,$J$4:$T$4),"")</f>
        <v/>
      </c>
      <c r="K165" s="656" t="str">
        <v/>
      </c>
      <c r="L165" s="654" t="str">
        <v/>
      </c>
      <c r="M165" s="656" t="str">
        <v/>
      </c>
      <c r="N165" s="656" t="str">
        <v/>
      </c>
      <c r="O165" s="656" t="str">
        <v/>
      </c>
      <c r="P165" s="656" t="str">
        <v/>
      </c>
      <c r="Q165" s="657" t="str">
        <v/>
      </c>
      <c r="R165" s="658" t="str">
        <v/>
      </c>
      <c r="S165" s="655" t="str">
        <v/>
      </c>
      <c r="T165" s="658" t="str">
        <v/>
      </c>
      <c r="U165" s="665" t="str">
        <f>IF(AND(QueryFlag="ON",NOT(ISNA(I165))),_xll.BondOutstanding(I165),"")</f>
        <v/>
      </c>
    </row>
    <row r="166" spans="6:21">
      <c r="F166" s="908" t="s">
        <v>411</v>
      </c>
      <c r="G166" s="917">
        <f>IF(LEN($F166)&gt;1,_xll.BondInfo($F166,$G$4),"")</f>
        <v>45519</v>
      </c>
      <c r="I166" s="898" t="s">
        <v>411</v>
      </c>
      <c r="J166" s="655" t="str">
        <f t="array" ref="J166:T166">IF(AND(QueryFlag="ON",NOT(ISNA(I166))),_xll.BondInfo(I166,$J$4:$T$4),"")</f>
        <v/>
      </c>
      <c r="K166" s="656" t="str">
        <v/>
      </c>
      <c r="L166" s="654" t="str">
        <v/>
      </c>
      <c r="M166" s="656" t="str">
        <v/>
      </c>
      <c r="N166" s="656" t="str">
        <v/>
      </c>
      <c r="O166" s="656" t="str">
        <v/>
      </c>
      <c r="P166" s="656" t="str">
        <v/>
      </c>
      <c r="Q166" s="657" t="str">
        <v/>
      </c>
      <c r="R166" s="658" t="str">
        <v/>
      </c>
      <c r="S166" s="655" t="str">
        <v/>
      </c>
      <c r="T166" s="658" t="str">
        <v/>
      </c>
      <c r="U166" s="665" t="str">
        <f>IF(AND(QueryFlag="ON",NOT(ISNA(I166))),_xll.BondOutstanding(I166),"")</f>
        <v/>
      </c>
    </row>
    <row r="167" spans="6:21">
      <c r="F167" s="908" t="s">
        <v>576</v>
      </c>
      <c r="G167" s="917">
        <f>IF(LEN($F167)&gt;1,_xll.BondInfo($F167,$G$4),"")</f>
        <v>45703</v>
      </c>
      <c r="I167" s="898" t="s">
        <v>576</v>
      </c>
      <c r="J167" s="655" t="str">
        <f t="array" ref="J167:T167">IF(AND(QueryFlag="ON",NOT(ISNA(I167))),_xll.BondInfo(I167,$J$4:$T$4),"")</f>
        <v/>
      </c>
      <c r="K167" s="656" t="str">
        <v/>
      </c>
      <c r="L167" s="654" t="str">
        <v/>
      </c>
      <c r="M167" s="656" t="str">
        <v/>
      </c>
      <c r="N167" s="656" t="str">
        <v/>
      </c>
      <c r="O167" s="656" t="str">
        <v/>
      </c>
      <c r="P167" s="656" t="str">
        <v/>
      </c>
      <c r="Q167" s="657" t="str">
        <v/>
      </c>
      <c r="R167" s="658" t="str">
        <v/>
      </c>
      <c r="S167" s="655" t="str">
        <v/>
      </c>
      <c r="T167" s="658" t="str">
        <v/>
      </c>
      <c r="U167" s="665" t="str">
        <f>IF(AND(QueryFlag="ON",NOT(ISNA(I167))),_xll.BondOutstanding(I167),"")</f>
        <v/>
      </c>
    </row>
    <row r="168" spans="6:21">
      <c r="F168" s="908" t="s">
        <v>741</v>
      </c>
      <c r="G168" s="917">
        <f>IF(LEN($F168)&gt;1,_xll.BondInfo($F168,$G$4),"")</f>
        <v>45884</v>
      </c>
      <c r="I168" s="898" t="s">
        <v>741</v>
      </c>
      <c r="J168" s="655" t="str">
        <f t="array" ref="J168:T168">IF(AND(QueryFlag="ON",NOT(ISNA(I168))),_xll.BondInfo(I168,$J$4:$T$4),"")</f>
        <v/>
      </c>
      <c r="K168" s="656" t="str">
        <v/>
      </c>
      <c r="L168" s="654" t="str">
        <v/>
      </c>
      <c r="M168" s="656" t="str">
        <v/>
      </c>
      <c r="N168" s="656" t="str">
        <v/>
      </c>
      <c r="O168" s="656" t="str">
        <v/>
      </c>
      <c r="P168" s="656" t="str">
        <v/>
      </c>
      <c r="Q168" s="657" t="str">
        <v/>
      </c>
      <c r="R168" s="658" t="str">
        <v/>
      </c>
      <c r="S168" s="655" t="str">
        <v/>
      </c>
      <c r="T168" s="658" t="str">
        <v/>
      </c>
      <c r="U168" s="665" t="str">
        <f>IF(AND(QueryFlag="ON",NOT(ISNA(I168))),_xll.BondOutstanding(I168),"")</f>
        <v/>
      </c>
    </row>
    <row r="169" spans="6:21">
      <c r="F169" s="908" t="s">
        <v>794</v>
      </c>
      <c r="G169" s="917">
        <f>IF(LEN($F169)&gt;1,_xll.BondInfo($F169,$G$4),"")</f>
        <v>46068</v>
      </c>
      <c r="I169" s="898" t="s">
        <v>794</v>
      </c>
      <c r="J169" s="655" t="str">
        <f t="array" ref="J169:T169">IF(AND(QueryFlag="ON",NOT(ISNA(I169))),_xll.BondInfo(I169,$J$4:$T$4),"")</f>
        <v/>
      </c>
      <c r="K169" s="656" t="str">
        <v/>
      </c>
      <c r="L169" s="654" t="str">
        <v/>
      </c>
      <c r="M169" s="656" t="str">
        <v/>
      </c>
      <c r="N169" s="656" t="str">
        <v/>
      </c>
      <c r="O169" s="656" t="str">
        <v/>
      </c>
      <c r="P169" s="656" t="str">
        <v/>
      </c>
      <c r="Q169" s="657" t="str">
        <v/>
      </c>
      <c r="R169" s="658" t="str">
        <v/>
      </c>
      <c r="S169" s="655" t="str">
        <v/>
      </c>
      <c r="T169" s="658" t="str">
        <v/>
      </c>
      <c r="U169" s="665" t="str">
        <f>IF(AND(QueryFlag="ON",NOT(ISNA(I169))),_xll.BondOutstanding(I169),"")</f>
        <v/>
      </c>
    </row>
    <row r="170" spans="6:21">
      <c r="F170" s="908" t="s">
        <v>880</v>
      </c>
      <c r="G170" s="917">
        <f>IF(LEN($F170)&gt;1,_xll.BondInfo($F170,$G$4),"")</f>
        <v>46249</v>
      </c>
      <c r="I170" s="898" t="s">
        <v>880</v>
      </c>
      <c r="J170" s="655" t="str">
        <f t="array" ref="J170:T170">IF(AND(QueryFlag="ON",NOT(ISNA(I170))),_xll.BondInfo(I170,$J$4:$T$4),"")</f>
        <v/>
      </c>
      <c r="K170" s="656" t="str">
        <v/>
      </c>
      <c r="L170" s="654" t="str">
        <v/>
      </c>
      <c r="M170" s="656" t="str">
        <v/>
      </c>
      <c r="N170" s="656" t="str">
        <v/>
      </c>
      <c r="O170" s="656" t="str">
        <v/>
      </c>
      <c r="P170" s="656" t="str">
        <v/>
      </c>
      <c r="Q170" s="657" t="str">
        <v/>
      </c>
      <c r="R170" s="658" t="str">
        <v/>
      </c>
      <c r="S170" s="655" t="str">
        <v/>
      </c>
      <c r="T170" s="658" t="str">
        <v/>
      </c>
      <c r="U170" s="665" t="str">
        <f>IF(AND(QueryFlag="ON",NOT(ISNA(I170))),_xll.BondOutstanding(I170),"")</f>
        <v/>
      </c>
    </row>
    <row r="171" spans="6:21">
      <c r="F171" s="908" t="s">
        <v>919</v>
      </c>
      <c r="G171" s="917">
        <f>IF(LEN($F171)&gt;1,_xll.BondInfo($F171,$G$4),"")</f>
        <v>46433</v>
      </c>
      <c r="I171" s="898" t="s">
        <v>919</v>
      </c>
      <c r="J171" s="655" t="str">
        <f t="array" ref="J171:T171">IF(AND(QueryFlag="ON",NOT(ISNA(I171))),_xll.BondInfo(I171,$J$4:$T$4),"")</f>
        <v/>
      </c>
      <c r="K171" s="656" t="str">
        <v/>
      </c>
      <c r="L171" s="654" t="str">
        <v/>
      </c>
      <c r="M171" s="656" t="str">
        <v/>
      </c>
      <c r="N171" s="656" t="str">
        <v/>
      </c>
      <c r="O171" s="656" t="str">
        <v/>
      </c>
      <c r="P171" s="656" t="str">
        <v/>
      </c>
      <c r="Q171" s="657" t="str">
        <v/>
      </c>
      <c r="R171" s="658" t="str">
        <v/>
      </c>
      <c r="S171" s="655" t="str">
        <v/>
      </c>
      <c r="T171" s="658" t="str">
        <v/>
      </c>
      <c r="U171" s="665" t="str">
        <f>IF(AND(QueryFlag="ON",NOT(ISNA(I171))),_xll.BondOutstanding(I171),"")</f>
        <v/>
      </c>
    </row>
    <row r="172" spans="6:21">
      <c r="F172" s="908" t="s">
        <v>649</v>
      </c>
      <c r="G172" s="917">
        <f>IF(LEN($F172)&gt;1,_xll.BondInfo($F172,$G$4),"")</f>
        <v>46572</v>
      </c>
      <c r="I172" s="898" t="s">
        <v>649</v>
      </c>
      <c r="J172" s="655" t="str">
        <f t="array" ref="J172:T172">IF(AND(QueryFlag="ON",NOT(ISNA(I172))),_xll.BondInfo(I172,$J$4:$T$4),"")</f>
        <v/>
      </c>
      <c r="K172" s="656" t="str">
        <v/>
      </c>
      <c r="L172" s="654" t="str">
        <v/>
      </c>
      <c r="M172" s="656" t="str">
        <v/>
      </c>
      <c r="N172" s="656" t="str">
        <v/>
      </c>
      <c r="O172" s="656" t="str">
        <v/>
      </c>
      <c r="P172" s="656" t="str">
        <v/>
      </c>
      <c r="Q172" s="657" t="str">
        <v/>
      </c>
      <c r="R172" s="658" t="str">
        <v/>
      </c>
      <c r="S172" s="655" t="str">
        <v/>
      </c>
      <c r="T172" s="658" t="str">
        <v/>
      </c>
      <c r="U172" s="665" t="str">
        <f>IF(AND(QueryFlag="ON",NOT(ISNA(I172))),_xll.BondOutstanding(I172),"")</f>
        <v/>
      </c>
    </row>
    <row r="173" spans="6:21">
      <c r="F173" s="908" t="s">
        <v>991</v>
      </c>
      <c r="G173" s="917">
        <f>IF(LEN($F173)&gt;1,_xll.BondInfo($F173,$G$4),"")</f>
        <v>46614</v>
      </c>
      <c r="I173" s="898" t="s">
        <v>991</v>
      </c>
      <c r="J173" s="655" t="str">
        <f t="array" ref="J173:T173">IF(AND(QueryFlag="ON",NOT(ISNA(I173))),_xll.BondInfo(I173,$J$4:$T$4),"")</f>
        <v/>
      </c>
      <c r="K173" s="656" t="str">
        <v/>
      </c>
      <c r="L173" s="654" t="str">
        <v/>
      </c>
      <c r="M173" s="656" t="str">
        <v/>
      </c>
      <c r="N173" s="656" t="str">
        <v/>
      </c>
      <c r="O173" s="656" t="str">
        <v/>
      </c>
      <c r="P173" s="656" t="str">
        <v/>
      </c>
      <c r="Q173" s="657" t="str">
        <v/>
      </c>
      <c r="R173" s="658" t="str">
        <v/>
      </c>
      <c r="S173" s="655" t="str">
        <v/>
      </c>
      <c r="T173" s="658" t="str">
        <v/>
      </c>
      <c r="U173" s="665" t="str">
        <f>IF(AND(QueryFlag="ON",NOT(ISNA(I173))),_xll.BondOutstanding(I173),"")</f>
        <v/>
      </c>
    </row>
    <row r="174" spans="6:21">
      <c r="F174" s="908" t="s">
        <v>650</v>
      </c>
      <c r="G174" s="917">
        <f>IF(LEN($F174)&gt;1,_xll.BondInfo($F174,$G$4),"")</f>
        <v>46756</v>
      </c>
      <c r="I174" s="898" t="s">
        <v>650</v>
      </c>
      <c r="J174" s="655" t="str">
        <f t="array" ref="J174:T174">IF(AND(QueryFlag="ON",NOT(ISNA(I174))),_xll.BondInfo(I174,$J$4:$T$4),"")</f>
        <v/>
      </c>
      <c r="K174" s="656" t="str">
        <v/>
      </c>
      <c r="L174" s="654" t="str">
        <v/>
      </c>
      <c r="M174" s="656" t="str">
        <v/>
      </c>
      <c r="N174" s="656" t="str">
        <v/>
      </c>
      <c r="O174" s="656" t="str">
        <v/>
      </c>
      <c r="P174" s="656" t="str">
        <v/>
      </c>
      <c r="Q174" s="657" t="str">
        <v/>
      </c>
      <c r="R174" s="658" t="str">
        <v/>
      </c>
      <c r="S174" s="655" t="str">
        <v/>
      </c>
      <c r="T174" s="658" t="str">
        <v/>
      </c>
      <c r="U174" s="665" t="str">
        <f>IF(AND(QueryFlag="ON",NOT(ISNA(I174))),_xll.BondOutstanding(I174),"")</f>
        <v/>
      </c>
    </row>
    <row r="175" spans="6:21">
      <c r="F175" s="908" t="s">
        <v>1701</v>
      </c>
      <c r="G175" s="917">
        <f>IF(LEN($F175)&gt;1,_xll.BondInfo($F175,$G$4),"")</f>
        <v>46798</v>
      </c>
      <c r="I175" s="898" t="s">
        <v>1701</v>
      </c>
      <c r="J175" s="655" t="str">
        <f t="array" ref="J175:T175">IF(AND(QueryFlag="ON",NOT(ISNA(I175))),_xll.BondInfo(I175,$J$4:$T$4),"")</f>
        <v/>
      </c>
      <c r="K175" s="656" t="str">
        <v/>
      </c>
      <c r="L175" s="654" t="str">
        <v/>
      </c>
      <c r="M175" s="656" t="str">
        <v/>
      </c>
      <c r="N175" s="656" t="str">
        <v/>
      </c>
      <c r="O175" s="656" t="str">
        <v/>
      </c>
      <c r="P175" s="656" t="str">
        <v/>
      </c>
      <c r="Q175" s="657" t="str">
        <v/>
      </c>
      <c r="R175" s="658" t="str">
        <v/>
      </c>
      <c r="S175" s="655" t="str">
        <v/>
      </c>
      <c r="T175" s="658" t="str">
        <v/>
      </c>
      <c r="U175" s="665" t="str">
        <f>IF(AND(QueryFlag="ON",NOT(ISNA(I175))),_xll.BondOutstanding(I175),"")</f>
        <v/>
      </c>
    </row>
    <row r="176" spans="6:21">
      <c r="F176" s="908" t="s">
        <v>651</v>
      </c>
      <c r="G176" s="917">
        <f>IF(LEN($F176)&gt;1,_xll.BondInfo($F176,$G$4),"")</f>
        <v>46938</v>
      </c>
      <c r="I176" s="898" t="s">
        <v>651</v>
      </c>
      <c r="J176" s="655" t="str">
        <f t="array" ref="J176:T176">IF(AND(QueryFlag="ON",NOT(ISNA(I176))),_xll.BondInfo(I176,$J$4:$T$4),"")</f>
        <v/>
      </c>
      <c r="K176" s="656" t="str">
        <v/>
      </c>
      <c r="L176" s="654" t="str">
        <v/>
      </c>
      <c r="M176" s="656" t="str">
        <v/>
      </c>
      <c r="N176" s="656" t="str">
        <v/>
      </c>
      <c r="O176" s="656" t="str">
        <v/>
      </c>
      <c r="P176" s="656" t="str">
        <v/>
      </c>
      <c r="Q176" s="657" t="str">
        <v/>
      </c>
      <c r="R176" s="658" t="str">
        <v/>
      </c>
      <c r="S176" s="655" t="str">
        <v/>
      </c>
      <c r="T176" s="658" t="str">
        <v/>
      </c>
      <c r="U176" s="665" t="str">
        <f>IF(AND(QueryFlag="ON",NOT(ISNA(I176))),_xll.BondOutstanding(I176),"")</f>
        <v/>
      </c>
    </row>
    <row r="177" spans="6:21">
      <c r="F177" s="908" t="s">
        <v>652</v>
      </c>
      <c r="G177" s="917">
        <f>IF(LEN($F177)&gt;1,_xll.BondInfo($F177,$G$4),"")</f>
        <v>47487</v>
      </c>
      <c r="I177" s="898" t="s">
        <v>652</v>
      </c>
      <c r="J177" s="655" t="str">
        <f t="array" ref="J177:T177">IF(AND(QueryFlag="ON",NOT(ISNA(I177))),_xll.BondInfo(I177,$J$4:$T$4),"")</f>
        <v/>
      </c>
      <c r="K177" s="656" t="str">
        <v/>
      </c>
      <c r="L177" s="654" t="str">
        <v/>
      </c>
      <c r="M177" s="656" t="str">
        <v/>
      </c>
      <c r="N177" s="656" t="str">
        <v/>
      </c>
      <c r="O177" s="656" t="str">
        <v/>
      </c>
      <c r="P177" s="656" t="str">
        <v/>
      </c>
      <c r="Q177" s="657" t="str">
        <v/>
      </c>
      <c r="R177" s="658" t="str">
        <v/>
      </c>
      <c r="S177" s="655" t="str">
        <v/>
      </c>
      <c r="T177" s="658" t="str">
        <v/>
      </c>
      <c r="U177" s="665" t="str">
        <f>IF(AND(QueryFlag="ON",NOT(ISNA(I177))),_xll.BondOutstanding(I177),"")</f>
        <v/>
      </c>
    </row>
    <row r="178" spans="6:21">
      <c r="F178" s="908" t="s">
        <v>653</v>
      </c>
      <c r="G178" s="917">
        <f>IF(LEN($F178)&gt;1,_xll.BondInfo($F178,$G$4),"")</f>
        <v>47852</v>
      </c>
      <c r="I178" s="898" t="s">
        <v>653</v>
      </c>
      <c r="J178" s="655" t="str">
        <f t="array" ref="J178:T178">IF(AND(QueryFlag="ON",NOT(ISNA(I178))),_xll.BondInfo(I178,$J$4:$T$4),"")</f>
        <v/>
      </c>
      <c r="K178" s="656" t="str">
        <v/>
      </c>
      <c r="L178" s="654" t="str">
        <v/>
      </c>
      <c r="M178" s="656" t="str">
        <v/>
      </c>
      <c r="N178" s="656" t="str">
        <v/>
      </c>
      <c r="O178" s="656" t="str">
        <v/>
      </c>
      <c r="P178" s="656" t="str">
        <v/>
      </c>
      <c r="Q178" s="657" t="str">
        <v/>
      </c>
      <c r="R178" s="658" t="str">
        <v/>
      </c>
      <c r="S178" s="655" t="str">
        <v/>
      </c>
      <c r="T178" s="658" t="str">
        <v/>
      </c>
      <c r="U178" s="665" t="str">
        <f>IF(AND(QueryFlag="ON",NOT(ISNA(I178))),_xll.BondOutstanding(I178),"")</f>
        <v/>
      </c>
    </row>
    <row r="179" spans="6:21">
      <c r="F179" s="908" t="s">
        <v>654</v>
      </c>
      <c r="G179" s="917">
        <f>IF(LEN($F179)&gt;1,_xll.BondInfo($F179,$G$4),"")</f>
        <v>49129</v>
      </c>
      <c r="I179" s="898" t="s">
        <v>654</v>
      </c>
      <c r="J179" s="655" t="str">
        <f t="array" ref="J179:T179">IF(AND(QueryFlag="ON",NOT(ISNA(I179))),_xll.BondInfo(I179,$J$4:$T$4),"")</f>
        <v/>
      </c>
      <c r="K179" s="656" t="str">
        <v/>
      </c>
      <c r="L179" s="654" t="str">
        <v/>
      </c>
      <c r="M179" s="656" t="str">
        <v/>
      </c>
      <c r="N179" s="656" t="str">
        <v/>
      </c>
      <c r="O179" s="656" t="str">
        <v/>
      </c>
      <c r="P179" s="656" t="str">
        <v/>
      </c>
      <c r="Q179" s="657" t="str">
        <v/>
      </c>
      <c r="R179" s="658" t="str">
        <v/>
      </c>
      <c r="S179" s="655" t="str">
        <v/>
      </c>
      <c r="T179" s="658" t="str">
        <v/>
      </c>
      <c r="U179" s="665" t="str">
        <f>IF(AND(QueryFlag="ON",NOT(ISNA(I179))),_xll.BondOutstanding(I179),"")</f>
        <v/>
      </c>
    </row>
    <row r="180" spans="6:21">
      <c r="F180" s="908" t="s">
        <v>655</v>
      </c>
      <c r="G180" s="917">
        <f>IF(LEN($F180)&gt;1,_xll.BondInfo($F180,$G$4),"")</f>
        <v>50044</v>
      </c>
      <c r="I180" s="898" t="s">
        <v>655</v>
      </c>
      <c r="J180" s="655" t="str">
        <f t="array" ref="J180:T180">IF(AND(QueryFlag="ON",NOT(ISNA(I180))),_xll.BondInfo(I180,$J$4:$T$4),"")</f>
        <v/>
      </c>
      <c r="K180" s="656" t="str">
        <v/>
      </c>
      <c r="L180" s="654" t="str">
        <v/>
      </c>
      <c r="M180" s="656" t="str">
        <v/>
      </c>
      <c r="N180" s="656" t="str">
        <v/>
      </c>
      <c r="O180" s="656" t="str">
        <v/>
      </c>
      <c r="P180" s="656" t="str">
        <v/>
      </c>
      <c r="Q180" s="657" t="str">
        <v/>
      </c>
      <c r="R180" s="658" t="str">
        <v/>
      </c>
      <c r="S180" s="655" t="str">
        <v/>
      </c>
      <c r="T180" s="658" t="str">
        <v/>
      </c>
      <c r="U180" s="665" t="str">
        <f>IF(AND(QueryFlag="ON",NOT(ISNA(I180))),_xll.BondOutstanding(I180),"")</f>
        <v/>
      </c>
    </row>
    <row r="181" spans="6:21">
      <c r="F181" s="908" t="s">
        <v>656</v>
      </c>
      <c r="G181" s="917">
        <f>IF(LEN($F181)&gt;1,_xll.BondInfo($F181,$G$4),"")</f>
        <v>50955</v>
      </c>
      <c r="I181" s="898" t="s">
        <v>656</v>
      </c>
      <c r="J181" s="655" t="str">
        <f t="array" ref="J181:T181">IF(AND(QueryFlag="ON",NOT(ISNA(I181))),_xll.BondInfo(I181,$J$4:$T$4),"")</f>
        <v/>
      </c>
      <c r="K181" s="656" t="str">
        <v/>
      </c>
      <c r="L181" s="654" t="str">
        <v/>
      </c>
      <c r="M181" s="656" t="str">
        <v/>
      </c>
      <c r="N181" s="656" t="str">
        <v/>
      </c>
      <c r="O181" s="656" t="str">
        <v/>
      </c>
      <c r="P181" s="656" t="str">
        <v/>
      </c>
      <c r="Q181" s="657" t="str">
        <v/>
      </c>
      <c r="R181" s="658" t="str">
        <v/>
      </c>
      <c r="S181" s="655" t="str">
        <v/>
      </c>
      <c r="T181" s="658" t="str">
        <v/>
      </c>
      <c r="U181" s="665" t="str">
        <f>IF(AND(QueryFlag="ON",NOT(ISNA(I181))),_xll.BondOutstanding(I181),"")</f>
        <v/>
      </c>
    </row>
    <row r="182" spans="6:21">
      <c r="F182" s="908" t="s">
        <v>657</v>
      </c>
      <c r="G182" s="917">
        <f>IF(LEN($F182)&gt;1,_xll.BondInfo($F182,$G$4),"")</f>
        <v>51321</v>
      </c>
      <c r="I182" s="898" t="s">
        <v>657</v>
      </c>
      <c r="J182" s="655" t="str">
        <f t="array" ref="J182:T182">IF(AND(QueryFlag="ON",NOT(ISNA(I182))),_xll.BondInfo(I182,$J$4:$T$4),"")</f>
        <v/>
      </c>
      <c r="K182" s="656" t="str">
        <v/>
      </c>
      <c r="L182" s="654" t="str">
        <v/>
      </c>
      <c r="M182" s="656" t="str">
        <v/>
      </c>
      <c r="N182" s="656" t="str">
        <v/>
      </c>
      <c r="O182" s="656" t="str">
        <v/>
      </c>
      <c r="P182" s="656" t="str">
        <v/>
      </c>
      <c r="Q182" s="657" t="str">
        <v/>
      </c>
      <c r="R182" s="658" t="str">
        <v/>
      </c>
      <c r="S182" s="655" t="str">
        <v/>
      </c>
      <c r="T182" s="658" t="str">
        <v/>
      </c>
      <c r="U182" s="665" t="str">
        <f>IF(AND(QueryFlag="ON",NOT(ISNA(I182))),_xll.BondOutstanding(I182),"")</f>
        <v/>
      </c>
    </row>
    <row r="183" spans="6:21">
      <c r="F183" s="908" t="s">
        <v>658</v>
      </c>
      <c r="G183" s="917">
        <f>IF(LEN($F183)&gt;1,_xll.BondInfo($F183,$G$4),"")</f>
        <v>52051</v>
      </c>
      <c r="I183" s="898" t="s">
        <v>658</v>
      </c>
      <c r="J183" s="655" t="str">
        <f t="array" ref="J183:T183">IF(AND(QueryFlag="ON",NOT(ISNA(I183))),_xll.BondInfo(I183,$J$4:$T$4),"")</f>
        <v/>
      </c>
      <c r="K183" s="656" t="str">
        <v/>
      </c>
      <c r="L183" s="654" t="str">
        <v/>
      </c>
      <c r="M183" s="656" t="str">
        <v/>
      </c>
      <c r="N183" s="656" t="str">
        <v/>
      </c>
      <c r="O183" s="656" t="str">
        <v/>
      </c>
      <c r="P183" s="656" t="str">
        <v/>
      </c>
      <c r="Q183" s="657" t="str">
        <v/>
      </c>
      <c r="R183" s="658" t="str">
        <v/>
      </c>
      <c r="S183" s="655" t="str">
        <v/>
      </c>
      <c r="T183" s="658" t="str">
        <v/>
      </c>
      <c r="U183" s="665" t="str">
        <f>IF(AND(QueryFlag="ON",NOT(ISNA(I183))),_xll.BondOutstanding(I183),"")</f>
        <v/>
      </c>
    </row>
    <row r="184" spans="6:21">
      <c r="F184" s="908" t="s">
        <v>659</v>
      </c>
      <c r="G184" s="917">
        <f>IF(LEN($F184)&gt;1,_xll.BondInfo($F184,$G$4),"")</f>
        <v>52782</v>
      </c>
      <c r="I184" s="898" t="s">
        <v>659</v>
      </c>
      <c r="J184" s="655" t="str">
        <f t="array" ref="J184:T184">IF(AND(QueryFlag="ON",NOT(ISNA(I184))),_xll.BondInfo(I184,$J$4:$T$4),"")</f>
        <v/>
      </c>
      <c r="K184" s="656" t="str">
        <v/>
      </c>
      <c r="L184" s="654" t="str">
        <v/>
      </c>
      <c r="M184" s="656" t="str">
        <v/>
      </c>
      <c r="N184" s="656" t="str">
        <v/>
      </c>
      <c r="O184" s="656" t="str">
        <v/>
      </c>
      <c r="P184" s="656" t="str">
        <v/>
      </c>
      <c r="Q184" s="657" t="str">
        <v/>
      </c>
      <c r="R184" s="658" t="str">
        <v/>
      </c>
      <c r="S184" s="655" t="str">
        <v/>
      </c>
      <c r="T184" s="658" t="str">
        <v/>
      </c>
      <c r="U184" s="665" t="str">
        <f>IF(AND(QueryFlag="ON",NOT(ISNA(I184))),_xll.BondOutstanding(I184),"")</f>
        <v/>
      </c>
    </row>
    <row r="185" spans="6:21">
      <c r="F185" s="908" t="s">
        <v>412</v>
      </c>
      <c r="G185" s="917">
        <f>IF(LEN($F185)&gt;1,_xll.BondInfo($F185,$G$4),"")</f>
        <v>53554</v>
      </c>
      <c r="I185" s="898" t="s">
        <v>412</v>
      </c>
      <c r="J185" s="655" t="str">
        <f t="array" ref="J185:T185">IF(AND(QueryFlag="ON",NOT(ISNA(I185))),_xll.BondInfo(I185,$J$4:$T$4),"")</f>
        <v/>
      </c>
      <c r="K185" s="656" t="str">
        <v/>
      </c>
      <c r="L185" s="654" t="str">
        <v/>
      </c>
      <c r="M185" s="656" t="str">
        <v/>
      </c>
      <c r="N185" s="656" t="str">
        <v/>
      </c>
      <c r="O185" s="656" t="str">
        <v/>
      </c>
      <c r="P185" s="656" t="str">
        <v/>
      </c>
      <c r="Q185" s="657" t="str">
        <v/>
      </c>
      <c r="R185" s="658" t="str">
        <v/>
      </c>
      <c r="S185" s="655" t="str">
        <v/>
      </c>
      <c r="T185" s="658" t="str">
        <v/>
      </c>
      <c r="U185" s="665" t="str">
        <f>IF(AND(QueryFlag="ON",NOT(ISNA(I185))),_xll.BondOutstanding(I185),"")</f>
        <v/>
      </c>
    </row>
    <row r="186" spans="6:21">
      <c r="F186" s="908" t="s">
        <v>1636</v>
      </c>
      <c r="G186" s="917">
        <f>IF(LEN($F186)&gt;1,_xll.BondInfo($F186,$G$4),"")</f>
        <v>54285</v>
      </c>
      <c r="I186" s="898" t="s">
        <v>1636</v>
      </c>
      <c r="J186" s="655" t="str">
        <f t="array" ref="J186:T186">IF(AND(QueryFlag="ON",NOT(ISNA(I186))),_xll.BondInfo(I186,$J$4:$T$4),"")</f>
        <v/>
      </c>
      <c r="K186" s="656" t="str">
        <v/>
      </c>
      <c r="L186" s="654" t="str">
        <v/>
      </c>
      <c r="M186" s="656" t="str">
        <v/>
      </c>
      <c r="N186" s="656" t="str">
        <v/>
      </c>
      <c r="O186" s="656" t="str">
        <v/>
      </c>
      <c r="P186" s="656" t="str">
        <v/>
      </c>
      <c r="Q186" s="657" t="str">
        <v/>
      </c>
      <c r="R186" s="658" t="str">
        <v/>
      </c>
      <c r="S186" s="655" t="str">
        <v/>
      </c>
      <c r="T186" s="658" t="str">
        <v/>
      </c>
      <c r="U186" s="665" t="str">
        <f>IF(AND(QueryFlag="ON",NOT(ISNA(I186))),_xll.BondOutstanding(I186),"")</f>
        <v/>
      </c>
    </row>
    <row r="187" spans="6:21">
      <c r="F187" s="908" t="s">
        <v>671</v>
      </c>
      <c r="G187" s="917">
        <f>IF(LEN($F187)&gt;1,_xll.BondInfo($F187,$G$4),"")</f>
        <v>43215</v>
      </c>
      <c r="I187" s="898" t="s">
        <v>671</v>
      </c>
      <c r="J187" s="655" t="str">
        <f t="array" ref="J187:T187">IF(AND(QueryFlag="ON",NOT(ISNA(I187))),_xll.BondInfo(I187,$J$4:$T$4),"")</f>
        <v/>
      </c>
      <c r="K187" s="656" t="str">
        <v/>
      </c>
      <c r="L187" s="654" t="str">
        <v/>
      </c>
      <c r="M187" s="656" t="str">
        <v/>
      </c>
      <c r="N187" s="656" t="str">
        <v/>
      </c>
      <c r="O187" s="656" t="str">
        <v/>
      </c>
      <c r="P187" s="656" t="str">
        <v/>
      </c>
      <c r="Q187" s="657" t="str">
        <v/>
      </c>
      <c r="R187" s="658" t="str">
        <v/>
      </c>
      <c r="S187" s="655" t="str">
        <v/>
      </c>
      <c r="T187" s="658" t="str">
        <v/>
      </c>
      <c r="U187" s="665" t="str">
        <f>IF(AND(QueryFlag="ON",NOT(ISNA(I187))),_xll.BondOutstanding(I187),"")</f>
        <v/>
      </c>
    </row>
    <row r="188" spans="6:21">
      <c r="F188" s="908" t="s">
        <v>672</v>
      </c>
      <c r="G188" s="917">
        <f>IF(LEN($F188)&gt;1,_xll.BondInfo($F188,$G$4),"")</f>
        <v>43245</v>
      </c>
      <c r="I188" s="898" t="s">
        <v>672</v>
      </c>
      <c r="J188" s="655" t="str">
        <f t="array" ref="J188:T188">IF(AND(QueryFlag="ON",NOT(ISNA(I188))),_xll.BondInfo(I188,$J$4:$T$4),"")</f>
        <v/>
      </c>
      <c r="K188" s="656" t="str">
        <v/>
      </c>
      <c r="L188" s="654" t="str">
        <v/>
      </c>
      <c r="M188" s="656" t="str">
        <v/>
      </c>
      <c r="N188" s="656" t="str">
        <v/>
      </c>
      <c r="O188" s="656" t="str">
        <v/>
      </c>
      <c r="P188" s="656" t="str">
        <v/>
      </c>
      <c r="Q188" s="657" t="str">
        <v/>
      </c>
      <c r="R188" s="658" t="str">
        <v/>
      </c>
      <c r="S188" s="655" t="str">
        <v/>
      </c>
      <c r="T188" s="658" t="str">
        <v/>
      </c>
      <c r="U188" s="665" t="str">
        <f>IF(AND(QueryFlag="ON",NOT(ISNA(I188))),_xll.BondOutstanding(I188),"")</f>
        <v/>
      </c>
    </row>
    <row r="189" spans="6:21">
      <c r="F189" s="908" t="s">
        <v>673</v>
      </c>
      <c r="G189" s="917">
        <f>IF(LEN($F189)&gt;1,_xll.BondInfo($F189,$G$4),"")</f>
        <v>43398</v>
      </c>
      <c r="I189" s="898" t="s">
        <v>673</v>
      </c>
      <c r="J189" s="655" t="str">
        <f t="array" ref="J189:T189">IF(AND(QueryFlag="ON",NOT(ISNA(I189))),_xll.BondInfo(I189,$J$4:$T$4),"")</f>
        <v/>
      </c>
      <c r="K189" s="656" t="str">
        <v/>
      </c>
      <c r="L189" s="654" t="str">
        <v/>
      </c>
      <c r="M189" s="656" t="str">
        <v/>
      </c>
      <c r="N189" s="656" t="str">
        <v/>
      </c>
      <c r="O189" s="656" t="str">
        <v/>
      </c>
      <c r="P189" s="656" t="str">
        <v/>
      </c>
      <c r="Q189" s="657" t="str">
        <v/>
      </c>
      <c r="R189" s="658" t="str">
        <v/>
      </c>
      <c r="S189" s="655" t="str">
        <v/>
      </c>
      <c r="T189" s="658" t="str">
        <v/>
      </c>
      <c r="U189" s="665" t="str">
        <f>IF(AND(QueryFlag="ON",NOT(ISNA(I189))),_xll.BondOutstanding(I189),"")</f>
        <v/>
      </c>
    </row>
    <row r="190" spans="6:21">
      <c r="F190" s="908" t="s">
        <v>674</v>
      </c>
      <c r="G190" s="917">
        <f>IF(LEN($F190)&gt;1,_xll.BondInfo($F190,$G$4),"")</f>
        <v>43429</v>
      </c>
      <c r="I190" s="898" t="s">
        <v>674</v>
      </c>
      <c r="J190" s="655" t="str">
        <f t="array" ref="J190:T190">IF(AND(QueryFlag="ON",NOT(ISNA(I190))),_xll.BondInfo(I190,$J$4:$T$4),"")</f>
        <v/>
      </c>
      <c r="K190" s="656" t="str">
        <v/>
      </c>
      <c r="L190" s="654" t="str">
        <v/>
      </c>
      <c r="M190" s="656" t="str">
        <v/>
      </c>
      <c r="N190" s="656" t="str">
        <v/>
      </c>
      <c r="O190" s="656" t="str">
        <v/>
      </c>
      <c r="P190" s="656" t="str">
        <v/>
      </c>
      <c r="Q190" s="657" t="str">
        <v/>
      </c>
      <c r="R190" s="658" t="str">
        <v/>
      </c>
      <c r="S190" s="655" t="str">
        <v/>
      </c>
      <c r="T190" s="658" t="str">
        <v/>
      </c>
      <c r="U190" s="665" t="str">
        <f>IF(AND(QueryFlag="ON",NOT(ISNA(I190))),_xll.BondOutstanding(I190),"")</f>
        <v/>
      </c>
    </row>
    <row r="191" spans="6:21">
      <c r="F191" s="908" t="s">
        <v>796</v>
      </c>
      <c r="G191" s="917">
        <f>IF(LEN($F191)&gt;1,_xll.BondInfo($F191,$G$4),"")</f>
        <v>43521</v>
      </c>
      <c r="I191" s="898" t="s">
        <v>796</v>
      </c>
      <c r="J191" s="655" t="str">
        <f t="array" ref="J191:T191">IF(AND(QueryFlag="ON",NOT(ISNA(I191))),_xll.BondInfo(I191,$J$4:$T$4),"")</f>
        <v/>
      </c>
      <c r="K191" s="656" t="str">
        <v/>
      </c>
      <c r="L191" s="654" t="str">
        <v/>
      </c>
      <c r="M191" s="656" t="str">
        <v/>
      </c>
      <c r="N191" s="656" t="str">
        <v/>
      </c>
      <c r="O191" s="656" t="str">
        <v/>
      </c>
      <c r="P191" s="656" t="str">
        <v/>
      </c>
      <c r="Q191" s="657" t="str">
        <v/>
      </c>
      <c r="R191" s="658" t="str">
        <v/>
      </c>
      <c r="S191" s="655" t="str">
        <v/>
      </c>
      <c r="T191" s="658" t="str">
        <v/>
      </c>
      <c r="U191" s="665" t="str">
        <f>IF(AND(QueryFlag="ON",NOT(ISNA(I191))),_xll.BondOutstanding(I191),"")</f>
        <v/>
      </c>
    </row>
    <row r="192" spans="6:21">
      <c r="F192" s="908" t="s">
        <v>675</v>
      </c>
      <c r="G192" s="917">
        <f>IF(LEN($F192)&gt;1,_xll.BondInfo($F192,$G$4),"")</f>
        <v>43580</v>
      </c>
      <c r="I192" s="898" t="s">
        <v>675</v>
      </c>
      <c r="J192" s="655" t="str">
        <f t="array" ref="J192:T192">IF(AND(QueryFlag="ON",NOT(ISNA(I192))),_xll.BondInfo(I192,$J$4:$T$4),"")</f>
        <v/>
      </c>
      <c r="K192" s="656" t="str">
        <v/>
      </c>
      <c r="L192" s="654" t="str">
        <v/>
      </c>
      <c r="M192" s="656" t="str">
        <v/>
      </c>
      <c r="N192" s="656" t="str">
        <v/>
      </c>
      <c r="O192" s="656" t="str">
        <v/>
      </c>
      <c r="P192" s="656" t="str">
        <v/>
      </c>
      <c r="Q192" s="657" t="str">
        <v/>
      </c>
      <c r="R192" s="658" t="str">
        <v/>
      </c>
      <c r="S192" s="655" t="str">
        <v/>
      </c>
      <c r="T192" s="658" t="str">
        <v/>
      </c>
      <c r="U192" s="665" t="str">
        <f>IF(AND(QueryFlag="ON",NOT(ISNA(I192))),_xll.BondOutstanding(I192),"")</f>
        <v/>
      </c>
    </row>
    <row r="193" spans="6:21">
      <c r="F193" s="908" t="s">
        <v>415</v>
      </c>
      <c r="G193" s="917">
        <f>IF(LEN($F193)&gt;1,_xll.BondInfo($F193,$G$4),"")</f>
        <v>43610</v>
      </c>
      <c r="I193" s="898" t="s">
        <v>415</v>
      </c>
      <c r="J193" s="655" t="str">
        <f t="array" ref="J193:T193">IF(AND(QueryFlag="ON",NOT(ISNA(I193))),_xll.BondInfo(I193,$J$4:$T$4),"")</f>
        <v/>
      </c>
      <c r="K193" s="656" t="str">
        <v/>
      </c>
      <c r="L193" s="654" t="str">
        <v/>
      </c>
      <c r="M193" s="656" t="str">
        <v/>
      </c>
      <c r="N193" s="656" t="str">
        <v/>
      </c>
      <c r="O193" s="656" t="str">
        <v/>
      </c>
      <c r="P193" s="656" t="str">
        <v/>
      </c>
      <c r="Q193" s="657" t="str">
        <v/>
      </c>
      <c r="R193" s="658" t="str">
        <v/>
      </c>
      <c r="S193" s="655" t="str">
        <v/>
      </c>
      <c r="T193" s="658" t="str">
        <v/>
      </c>
      <c r="U193" s="665" t="str">
        <f>IF(AND(QueryFlag="ON",NOT(ISNA(I193))),_xll.BondOutstanding(I193),"")</f>
        <v/>
      </c>
    </row>
    <row r="194" spans="6:21">
      <c r="F194" s="908" t="s">
        <v>676</v>
      </c>
      <c r="G194" s="917">
        <f>IF(LEN($F194)&gt;1,_xll.BondInfo($F194,$G$4),"")</f>
        <v>43763</v>
      </c>
      <c r="I194" s="898" t="s">
        <v>676</v>
      </c>
      <c r="J194" s="655" t="str">
        <f t="array" ref="J194:T194">IF(AND(QueryFlag="ON",NOT(ISNA(I194))),_xll.BondInfo(I194,$J$4:$T$4),"")</f>
        <v/>
      </c>
      <c r="K194" s="656" t="str">
        <v/>
      </c>
      <c r="L194" s="654" t="str">
        <v/>
      </c>
      <c r="M194" s="656" t="str">
        <v/>
      </c>
      <c r="N194" s="656" t="str">
        <v/>
      </c>
      <c r="O194" s="656" t="str">
        <v/>
      </c>
      <c r="P194" s="656" t="str">
        <v/>
      </c>
      <c r="Q194" s="657" t="str">
        <v/>
      </c>
      <c r="R194" s="658" t="str">
        <v/>
      </c>
      <c r="S194" s="655" t="str">
        <v/>
      </c>
      <c r="T194" s="658" t="str">
        <v/>
      </c>
      <c r="U194" s="665" t="str">
        <f>IF(AND(QueryFlag="ON",NOT(ISNA(I194))),_xll.BondOutstanding(I194),"")</f>
        <v/>
      </c>
    </row>
    <row r="195" spans="6:21">
      <c r="F195" s="908" t="s">
        <v>940</v>
      </c>
      <c r="G195" s="917">
        <f>IF(LEN($F195)&gt;1,_xll.BondInfo($F195,$G$4),"")</f>
        <v>43763</v>
      </c>
      <c r="I195" s="898" t="s">
        <v>940</v>
      </c>
      <c r="J195" s="655" t="str">
        <f t="array" ref="J195:T195">IF(AND(QueryFlag="ON",NOT(ISNA(I195))),_xll.BondInfo(I195,$J$4:$T$4),"")</f>
        <v/>
      </c>
      <c r="K195" s="656" t="str">
        <v/>
      </c>
      <c r="L195" s="654" t="str">
        <v/>
      </c>
      <c r="M195" s="656" t="str">
        <v/>
      </c>
      <c r="N195" s="656" t="str">
        <v/>
      </c>
      <c r="O195" s="656" t="str">
        <v/>
      </c>
      <c r="P195" s="656" t="str">
        <v/>
      </c>
      <c r="Q195" s="657" t="str">
        <v/>
      </c>
      <c r="R195" s="658" t="str">
        <v/>
      </c>
      <c r="S195" s="655" t="str">
        <v/>
      </c>
      <c r="T195" s="658" t="str">
        <v/>
      </c>
      <c r="U195" s="665" t="str">
        <f>IF(AND(QueryFlag="ON",NOT(ISNA(I195))),_xll.BondOutstanding(I195),"")</f>
        <v/>
      </c>
    </row>
    <row r="196" spans="6:21">
      <c r="F196" s="908" t="s">
        <v>416</v>
      </c>
      <c r="G196" s="917">
        <f>IF(LEN($F196)&gt;1,_xll.BondInfo($F196,$G$4),"")</f>
        <v>43794</v>
      </c>
      <c r="I196" s="898" t="s">
        <v>416</v>
      </c>
      <c r="J196" s="655" t="str">
        <f t="array" ref="J196:T196">IF(AND(QueryFlag="ON",NOT(ISNA(I196))),_xll.BondInfo(I196,$J$4:$T$4),"")</f>
        <v/>
      </c>
      <c r="K196" s="656" t="str">
        <v/>
      </c>
      <c r="L196" s="654" t="str">
        <v/>
      </c>
      <c r="M196" s="656" t="str">
        <v/>
      </c>
      <c r="N196" s="656" t="str">
        <v/>
      </c>
      <c r="O196" s="656" t="str">
        <v/>
      </c>
      <c r="P196" s="656" t="str">
        <v/>
      </c>
      <c r="Q196" s="657" t="str">
        <v/>
      </c>
      <c r="R196" s="658" t="str">
        <v/>
      </c>
      <c r="S196" s="655" t="str">
        <v/>
      </c>
      <c r="T196" s="658" t="str">
        <v/>
      </c>
      <c r="U196" s="665" t="str">
        <f>IF(AND(QueryFlag="ON",NOT(ISNA(I196))),_xll.BondOutstanding(I196),"")</f>
        <v/>
      </c>
    </row>
    <row r="197" spans="6:21">
      <c r="F197" s="908" t="s">
        <v>966</v>
      </c>
      <c r="G197" s="917">
        <f>IF(LEN($F197)&gt;1,_xll.BondInfo($F197,$G$4),"")</f>
        <v>43886</v>
      </c>
      <c r="I197" s="898" t="s">
        <v>966</v>
      </c>
      <c r="J197" s="655" t="str">
        <f t="array" ref="J197:T197">IF(AND(QueryFlag="ON",NOT(ISNA(I197))),_xll.BondInfo(I197,$J$4:$T$4),"")</f>
        <v/>
      </c>
      <c r="K197" s="656" t="str">
        <v/>
      </c>
      <c r="L197" s="654" t="str">
        <v/>
      </c>
      <c r="M197" s="656" t="str">
        <v/>
      </c>
      <c r="N197" s="656" t="str">
        <v/>
      </c>
      <c r="O197" s="656" t="str">
        <v/>
      </c>
      <c r="P197" s="656" t="str">
        <v/>
      </c>
      <c r="Q197" s="657" t="str">
        <v/>
      </c>
      <c r="R197" s="658" t="str">
        <v/>
      </c>
      <c r="S197" s="655" t="str">
        <v/>
      </c>
      <c r="T197" s="658" t="str">
        <v/>
      </c>
      <c r="U197" s="665" t="str">
        <f>IF(AND(QueryFlag="ON",NOT(ISNA(I197))),_xll.BondOutstanding(I197),"")</f>
        <v/>
      </c>
    </row>
    <row r="198" spans="6:21">
      <c r="F198" s="908" t="s">
        <v>677</v>
      </c>
      <c r="G198" s="917">
        <f>IF(LEN($F198)&gt;1,_xll.BondInfo($F198,$G$4),"")</f>
        <v>43946</v>
      </c>
      <c r="I198" s="898" t="s">
        <v>677</v>
      </c>
      <c r="J198" s="655" t="str">
        <f t="array" ref="J198:T198">IF(AND(QueryFlag="ON",NOT(ISNA(I198))),_xll.BondInfo(I198,$J$4:$T$4),"")</f>
        <v/>
      </c>
      <c r="K198" s="656" t="str">
        <v/>
      </c>
      <c r="L198" s="654" t="str">
        <v/>
      </c>
      <c r="M198" s="656" t="str">
        <v/>
      </c>
      <c r="N198" s="656" t="str">
        <v/>
      </c>
      <c r="O198" s="656" t="str">
        <v/>
      </c>
      <c r="P198" s="656" t="str">
        <v/>
      </c>
      <c r="Q198" s="657" t="str">
        <v/>
      </c>
      <c r="R198" s="658" t="str">
        <v/>
      </c>
      <c r="S198" s="655" t="str">
        <v/>
      </c>
      <c r="T198" s="658" t="str">
        <v/>
      </c>
      <c r="U198" s="665" t="str">
        <f>IF(AND(QueryFlag="ON",NOT(ISNA(I198))),_xll.BondOutstanding(I198),"")</f>
        <v/>
      </c>
    </row>
    <row r="199" spans="6:21">
      <c r="F199" s="908" t="s">
        <v>581</v>
      </c>
      <c r="G199" s="917">
        <f>IF(LEN($F199)&gt;1,_xll.BondInfo($F199,$G$4),"")</f>
        <v>43976</v>
      </c>
      <c r="I199" s="898" t="s">
        <v>581</v>
      </c>
      <c r="J199" s="655" t="str">
        <f t="array" ref="J199:T199">IF(AND(QueryFlag="ON",NOT(ISNA(I199))),_xll.BondInfo(I199,$J$4:$T$4),"")</f>
        <v/>
      </c>
      <c r="K199" s="656" t="str">
        <v/>
      </c>
      <c r="L199" s="654" t="str">
        <v/>
      </c>
      <c r="M199" s="656" t="str">
        <v/>
      </c>
      <c r="N199" s="656" t="str">
        <v/>
      </c>
      <c r="O199" s="656" t="str">
        <v/>
      </c>
      <c r="P199" s="656" t="str">
        <v/>
      </c>
      <c r="Q199" s="657" t="str">
        <v/>
      </c>
      <c r="R199" s="658" t="str">
        <v/>
      </c>
      <c r="S199" s="655" t="str">
        <v/>
      </c>
      <c r="T199" s="658" t="str">
        <v/>
      </c>
      <c r="U199" s="665" t="str">
        <f>IF(AND(QueryFlag="ON",NOT(ISNA(I199))),_xll.BondOutstanding(I199),"")</f>
        <v/>
      </c>
    </row>
    <row r="200" spans="6:21">
      <c r="F200" s="908" t="s">
        <v>678</v>
      </c>
      <c r="G200" s="917">
        <f>IF(LEN($F200)&gt;1,_xll.BondInfo($F200,$G$4),"")</f>
        <v>44129</v>
      </c>
      <c r="I200" s="898" t="s">
        <v>678</v>
      </c>
      <c r="J200" s="655" t="str">
        <f t="array" ref="J200:T200">IF(AND(QueryFlag="ON",NOT(ISNA(I200))),_xll.BondInfo(I200,$J$4:$T$4),"")</f>
        <v/>
      </c>
      <c r="K200" s="656" t="str">
        <v/>
      </c>
      <c r="L200" s="654" t="str">
        <v/>
      </c>
      <c r="M200" s="656" t="str">
        <v/>
      </c>
      <c r="N200" s="656" t="str">
        <v/>
      </c>
      <c r="O200" s="656" t="str">
        <v/>
      </c>
      <c r="P200" s="656" t="str">
        <v/>
      </c>
      <c r="Q200" s="657" t="str">
        <v/>
      </c>
      <c r="R200" s="658" t="str">
        <v/>
      </c>
      <c r="S200" s="655" t="str">
        <v/>
      </c>
      <c r="T200" s="658" t="str">
        <v/>
      </c>
      <c r="U200" s="665" t="str">
        <f>IF(AND(QueryFlag="ON",NOT(ISNA(I200))),_xll.BondOutstanding(I200),"")</f>
        <v/>
      </c>
    </row>
    <row r="201" spans="6:21">
      <c r="F201" s="908" t="s">
        <v>764</v>
      </c>
      <c r="G201" s="917">
        <f>IF(LEN($F201)&gt;1,_xll.BondInfo($F201,$G$4),"")</f>
        <v>44160</v>
      </c>
      <c r="I201" s="898" t="s">
        <v>764</v>
      </c>
      <c r="J201" s="655" t="str">
        <f t="array" ref="J201:T201">IF(AND(QueryFlag="ON",NOT(ISNA(I201))),_xll.BondInfo(I201,$J$4:$T$4),"")</f>
        <v/>
      </c>
      <c r="K201" s="656" t="str">
        <v/>
      </c>
      <c r="L201" s="654" t="str">
        <v/>
      </c>
      <c r="M201" s="656" t="str">
        <v/>
      </c>
      <c r="N201" s="656" t="str">
        <v/>
      </c>
      <c r="O201" s="656" t="str">
        <v/>
      </c>
      <c r="P201" s="656" t="str">
        <v/>
      </c>
      <c r="Q201" s="657" t="str">
        <v/>
      </c>
      <c r="R201" s="658" t="str">
        <v/>
      </c>
      <c r="S201" s="655" t="str">
        <v/>
      </c>
      <c r="T201" s="658" t="str">
        <v/>
      </c>
      <c r="U201" s="665" t="str">
        <f>IF(AND(QueryFlag="ON",NOT(ISNA(I201))),_xll.BondOutstanding(I201),"")</f>
        <v/>
      </c>
    </row>
    <row r="202" spans="6:21">
      <c r="F202" s="908" t="s">
        <v>1707</v>
      </c>
      <c r="G202" s="917">
        <f>IF(LEN($F202)&gt;1,_xll.BondInfo($F202,$G$4),"")</f>
        <v>44252</v>
      </c>
      <c r="I202" s="898" t="s">
        <v>1707</v>
      </c>
      <c r="J202" s="655" t="str">
        <f t="array" ref="J202:T202">IF(AND(QueryFlag="ON",NOT(ISNA(I202))),_xll.BondInfo(I202,$J$4:$T$4),"")</f>
        <v/>
      </c>
      <c r="K202" s="656" t="str">
        <v/>
      </c>
      <c r="L202" s="654" t="str">
        <v/>
      </c>
      <c r="M202" s="656" t="str">
        <v/>
      </c>
      <c r="N202" s="656" t="str">
        <v/>
      </c>
      <c r="O202" s="656" t="str">
        <v/>
      </c>
      <c r="P202" s="656" t="str">
        <v/>
      </c>
      <c r="Q202" s="657" t="str">
        <v/>
      </c>
      <c r="R202" s="658" t="str">
        <v/>
      </c>
      <c r="S202" s="655" t="str">
        <v/>
      </c>
      <c r="T202" s="658" t="str">
        <v/>
      </c>
      <c r="U202" s="665" t="str">
        <f>IF(AND(QueryFlag="ON",NOT(ISNA(I202))),_xll.BondOutstanding(I202),"")</f>
        <v/>
      </c>
    </row>
    <row r="203" spans="6:21">
      <c r="F203" s="908" t="s">
        <v>679</v>
      </c>
      <c r="G203" s="917">
        <f>IF(LEN($F203)&gt;1,_xll.BondInfo($F203,$G$4),"")</f>
        <v>44311</v>
      </c>
      <c r="I203" s="898" t="s">
        <v>679</v>
      </c>
      <c r="J203" s="655" t="str">
        <f t="array" ref="J203:T203">IF(AND(QueryFlag="ON",NOT(ISNA(I203))),_xll.BondInfo(I203,$J$4:$T$4),"")</f>
        <v/>
      </c>
      <c r="K203" s="656" t="str">
        <v/>
      </c>
      <c r="L203" s="654" t="str">
        <v/>
      </c>
      <c r="M203" s="656" t="str">
        <v/>
      </c>
      <c r="N203" s="656" t="str">
        <v/>
      </c>
      <c r="O203" s="656" t="str">
        <v/>
      </c>
      <c r="P203" s="656" t="str">
        <v/>
      </c>
      <c r="Q203" s="657" t="str">
        <v/>
      </c>
      <c r="R203" s="658" t="str">
        <v/>
      </c>
      <c r="S203" s="655" t="str">
        <v/>
      </c>
      <c r="T203" s="658" t="str">
        <v/>
      </c>
      <c r="U203" s="665" t="str">
        <f>IF(AND(QueryFlag="ON",NOT(ISNA(I203))),_xll.BondOutstanding(I203),"")</f>
        <v/>
      </c>
    </row>
    <row r="204" spans="6:21">
      <c r="F204" s="908" t="s">
        <v>855</v>
      </c>
      <c r="G204" s="917">
        <f>IF(LEN($F204)&gt;1,_xll.BondInfo($F204,$G$4),"")</f>
        <v>44341</v>
      </c>
      <c r="I204" s="898" t="s">
        <v>855</v>
      </c>
      <c r="J204" s="655" t="str">
        <f t="array" ref="J204:T204">IF(AND(QueryFlag="ON",NOT(ISNA(I204))),_xll.BondInfo(I204,$J$4:$T$4),"")</f>
        <v/>
      </c>
      <c r="K204" s="656" t="str">
        <v/>
      </c>
      <c r="L204" s="654" t="str">
        <v/>
      </c>
      <c r="M204" s="656" t="str">
        <v/>
      </c>
      <c r="N204" s="656" t="str">
        <v/>
      </c>
      <c r="O204" s="656" t="str">
        <v/>
      </c>
      <c r="P204" s="656" t="str">
        <v/>
      </c>
      <c r="Q204" s="657" t="str">
        <v/>
      </c>
      <c r="R204" s="658" t="str">
        <v/>
      </c>
      <c r="S204" s="655" t="str">
        <v/>
      </c>
      <c r="T204" s="658" t="str">
        <v/>
      </c>
      <c r="U204" s="665" t="str">
        <f>IF(AND(QueryFlag="ON",NOT(ISNA(I204))),_xll.BondOutstanding(I204),"")</f>
        <v/>
      </c>
    </row>
    <row r="205" spans="6:21">
      <c r="F205" s="908" t="s">
        <v>1637</v>
      </c>
      <c r="G205" s="917">
        <f>IF(LEN($F205)&gt;1,_xll.BondInfo($F205,$G$4),"")</f>
        <v>44402</v>
      </c>
      <c r="I205" s="898" t="s">
        <v>1637</v>
      </c>
      <c r="J205" s="655" t="str">
        <f t="array" ref="J205:T205">IF(AND(QueryFlag="ON",NOT(ISNA(I205))),_xll.BondInfo(I205,$J$4:$T$4),"")</f>
        <v/>
      </c>
      <c r="K205" s="656" t="str">
        <v/>
      </c>
      <c r="L205" s="654" t="str">
        <v/>
      </c>
      <c r="M205" s="656" t="str">
        <v/>
      </c>
      <c r="N205" s="656" t="str">
        <v/>
      </c>
      <c r="O205" s="656" t="str">
        <v/>
      </c>
      <c r="P205" s="656" t="str">
        <v/>
      </c>
      <c r="Q205" s="657" t="str">
        <v/>
      </c>
      <c r="R205" s="658" t="str">
        <v/>
      </c>
      <c r="S205" s="655" t="str">
        <v/>
      </c>
      <c r="T205" s="658" t="str">
        <v/>
      </c>
      <c r="U205" s="665" t="str">
        <f>IF(AND(QueryFlag="ON",NOT(ISNA(I205))),_xll.BondOutstanding(I205),"")</f>
        <v/>
      </c>
    </row>
    <row r="206" spans="6:21">
      <c r="F206" s="908" t="s">
        <v>680</v>
      </c>
      <c r="G206" s="917">
        <f>IF(LEN($F206)&gt;1,_xll.BondInfo($F206,$G$4),"")</f>
        <v>44494</v>
      </c>
      <c r="I206" s="898" t="s">
        <v>680</v>
      </c>
      <c r="J206" s="655" t="str">
        <f t="array" ref="J206:T206">IF(AND(QueryFlag="ON",NOT(ISNA(I206))),_xll.BondInfo(I206,$J$4:$T$4),"")</f>
        <v/>
      </c>
      <c r="K206" s="656" t="str">
        <v/>
      </c>
      <c r="L206" s="654" t="str">
        <v/>
      </c>
      <c r="M206" s="656" t="str">
        <v/>
      </c>
      <c r="N206" s="656" t="str">
        <v/>
      </c>
      <c r="O206" s="656" t="str">
        <v/>
      </c>
      <c r="P206" s="656" t="str">
        <v/>
      </c>
      <c r="Q206" s="657" t="str">
        <v/>
      </c>
      <c r="R206" s="658" t="str">
        <v/>
      </c>
      <c r="S206" s="655" t="str">
        <v/>
      </c>
      <c r="T206" s="658" t="str">
        <v/>
      </c>
      <c r="U206" s="665" t="str">
        <f>IF(AND(QueryFlag="ON",NOT(ISNA(I206))),_xll.BondOutstanding(I206),"")</f>
        <v/>
      </c>
    </row>
    <row r="207" spans="6:21">
      <c r="F207" s="908" t="s">
        <v>681</v>
      </c>
      <c r="G207" s="917">
        <f>IF(LEN($F207)&gt;1,_xll.BondInfo($F207,$G$4),"")</f>
        <v>44676</v>
      </c>
      <c r="I207" s="898" t="s">
        <v>681</v>
      </c>
      <c r="J207" s="655" t="str">
        <f t="array" ref="J207:T207">IF(AND(QueryFlag="ON",NOT(ISNA(I207))),_xll.BondInfo(I207,$J$4:$T$4),"")</f>
        <v/>
      </c>
      <c r="K207" s="656" t="str">
        <v/>
      </c>
      <c r="L207" s="654" t="str">
        <v/>
      </c>
      <c r="M207" s="656" t="str">
        <v/>
      </c>
      <c r="N207" s="656" t="str">
        <v/>
      </c>
      <c r="O207" s="656" t="str">
        <v/>
      </c>
      <c r="P207" s="656" t="str">
        <v/>
      </c>
      <c r="Q207" s="657" t="str">
        <v/>
      </c>
      <c r="R207" s="658" t="str">
        <v/>
      </c>
      <c r="S207" s="655" t="str">
        <v/>
      </c>
      <c r="T207" s="658" t="str">
        <v/>
      </c>
      <c r="U207" s="665" t="str">
        <f>IF(AND(QueryFlag="ON",NOT(ISNA(I207))),_xll.BondOutstanding(I207),"")</f>
        <v/>
      </c>
    </row>
    <row r="208" spans="6:21">
      <c r="F208" s="908" t="s">
        <v>941</v>
      </c>
      <c r="G208" s="917">
        <f>IF(LEN($F208)&gt;1,_xll.BondInfo($F208,$G$4),"")</f>
        <v>44676</v>
      </c>
      <c r="I208" s="898" t="s">
        <v>941</v>
      </c>
      <c r="J208" s="655" t="str">
        <f t="array" ref="J208:T208">IF(AND(QueryFlag="ON",NOT(ISNA(I208))),_xll.BondInfo(I208,$J$4:$T$4),"")</f>
        <v/>
      </c>
      <c r="K208" s="656" t="str">
        <v/>
      </c>
      <c r="L208" s="654" t="str">
        <v/>
      </c>
      <c r="M208" s="656" t="str">
        <v/>
      </c>
      <c r="N208" s="656" t="str">
        <v/>
      </c>
      <c r="O208" s="656" t="str">
        <v/>
      </c>
      <c r="P208" s="656" t="str">
        <v/>
      </c>
      <c r="Q208" s="657" t="str">
        <v/>
      </c>
      <c r="R208" s="658" t="str">
        <v/>
      </c>
      <c r="S208" s="655" t="str">
        <v/>
      </c>
      <c r="T208" s="658" t="str">
        <v/>
      </c>
      <c r="U208" s="665" t="str">
        <f>IF(AND(QueryFlag="ON",NOT(ISNA(I208))),_xll.BondOutstanding(I208),"")</f>
        <v/>
      </c>
    </row>
    <row r="209" spans="6:21">
      <c r="F209" s="908" t="s">
        <v>891</v>
      </c>
      <c r="G209" s="917">
        <f>IF(LEN($F209)&gt;1,_xll.BondInfo($F209,$G$4),"")</f>
        <v>44706</v>
      </c>
      <c r="I209" s="898" t="s">
        <v>891</v>
      </c>
      <c r="J209" s="655" t="str">
        <f t="array" ref="J209:T209">IF(AND(QueryFlag="ON",NOT(ISNA(I209))),_xll.BondInfo(I209,$J$4:$T$4),"")</f>
        <v/>
      </c>
      <c r="K209" s="656" t="str">
        <v/>
      </c>
      <c r="L209" s="654" t="str">
        <v/>
      </c>
      <c r="M209" s="656" t="str">
        <v/>
      </c>
      <c r="N209" s="656" t="str">
        <v/>
      </c>
      <c r="O209" s="656" t="str">
        <v/>
      </c>
      <c r="P209" s="656" t="str">
        <v/>
      </c>
      <c r="Q209" s="657" t="str">
        <v/>
      </c>
      <c r="R209" s="658" t="str">
        <v/>
      </c>
      <c r="S209" s="655" t="str">
        <v/>
      </c>
      <c r="T209" s="658" t="str">
        <v/>
      </c>
      <c r="U209" s="665" t="str">
        <f>IF(AND(QueryFlag="ON",NOT(ISNA(I209))),_xll.BondOutstanding(I209),"")</f>
        <v/>
      </c>
    </row>
    <row r="210" spans="6:21">
      <c r="F210" s="908" t="s">
        <v>682</v>
      </c>
      <c r="G210" s="917">
        <f>IF(LEN($F210)&gt;1,_xll.BondInfo($F210,$G$4),"")</f>
        <v>44859</v>
      </c>
      <c r="I210" s="898" t="s">
        <v>682</v>
      </c>
      <c r="J210" s="655" t="str">
        <f t="array" ref="J210:T210">IF(AND(QueryFlag="ON",NOT(ISNA(I210))),_xll.BondInfo(I210,$J$4:$T$4),"")</f>
        <v/>
      </c>
      <c r="K210" s="656" t="str">
        <v/>
      </c>
      <c r="L210" s="654" t="str">
        <v/>
      </c>
      <c r="M210" s="656" t="str">
        <v/>
      </c>
      <c r="N210" s="656" t="str">
        <v/>
      </c>
      <c r="O210" s="656" t="str">
        <v/>
      </c>
      <c r="P210" s="656" t="str">
        <v/>
      </c>
      <c r="Q210" s="657" t="str">
        <v/>
      </c>
      <c r="R210" s="658" t="str">
        <v/>
      </c>
      <c r="S210" s="655" t="str">
        <v/>
      </c>
      <c r="T210" s="658" t="str">
        <v/>
      </c>
      <c r="U210" s="665" t="str">
        <f>IF(AND(QueryFlag="ON",NOT(ISNA(I210))),_xll.BondOutstanding(I210),"")</f>
        <v/>
      </c>
    </row>
    <row r="211" spans="6:21">
      <c r="F211" s="908" t="s">
        <v>1638</v>
      </c>
      <c r="G211" s="917">
        <f>IF(LEN($F211)&gt;1,_xll.BondInfo($F211,$G$4),"")</f>
        <v>45010</v>
      </c>
      <c r="I211" s="898" t="s">
        <v>1638</v>
      </c>
      <c r="J211" s="655" t="str">
        <f t="array" ref="J211:T211">IF(AND(QueryFlag="ON",NOT(ISNA(I211))),_xll.BondInfo(I211,$J$4:$T$4),"")</f>
        <v/>
      </c>
      <c r="K211" s="656" t="str">
        <v/>
      </c>
      <c r="L211" s="654" t="str">
        <v/>
      </c>
      <c r="M211" s="656" t="str">
        <v/>
      </c>
      <c r="N211" s="656" t="str">
        <v/>
      </c>
      <c r="O211" s="656" t="str">
        <v/>
      </c>
      <c r="P211" s="656" t="str">
        <v/>
      </c>
      <c r="Q211" s="657" t="str">
        <v/>
      </c>
      <c r="R211" s="658" t="str">
        <v/>
      </c>
      <c r="S211" s="655" t="str">
        <v/>
      </c>
      <c r="T211" s="658" t="str">
        <v/>
      </c>
      <c r="U211" s="665" t="str">
        <f>IF(AND(QueryFlag="ON",NOT(ISNA(I211))),_xll.BondOutstanding(I211),"")</f>
        <v/>
      </c>
    </row>
    <row r="212" spans="6:21">
      <c r="F212" s="908" t="s">
        <v>942</v>
      </c>
      <c r="G212" s="917">
        <f>IF(LEN($F212)&gt;1,_xll.BondInfo($F212,$G$4),"")</f>
        <v>45041</v>
      </c>
      <c r="I212" s="898" t="s">
        <v>942</v>
      </c>
      <c r="J212" s="655" t="str">
        <f t="array" ref="J212:T212">IF(AND(QueryFlag="ON",NOT(ISNA(I212))),_xll.BondInfo(I212,$J$4:$T$4),"")</f>
        <v/>
      </c>
      <c r="K212" s="656" t="str">
        <v/>
      </c>
      <c r="L212" s="654" t="str">
        <v/>
      </c>
      <c r="M212" s="656" t="str">
        <v/>
      </c>
      <c r="N212" s="656" t="str">
        <v/>
      </c>
      <c r="O212" s="656" t="str">
        <v/>
      </c>
      <c r="P212" s="656" t="str">
        <v/>
      </c>
      <c r="Q212" s="657" t="str">
        <v/>
      </c>
      <c r="R212" s="658" t="str">
        <v/>
      </c>
      <c r="S212" s="655" t="str">
        <v/>
      </c>
      <c r="T212" s="658" t="str">
        <v/>
      </c>
      <c r="U212" s="665" t="str">
        <f>IF(AND(QueryFlag="ON",NOT(ISNA(I212))),_xll.BondOutstanding(I212),"")</f>
        <v/>
      </c>
    </row>
    <row r="213" spans="6:21">
      <c r="F213" s="908" t="s">
        <v>683</v>
      </c>
      <c r="G213" s="917">
        <f>IF(LEN($F213)&gt;1,_xll.BondInfo($F213,$G$4),"")</f>
        <v>45071</v>
      </c>
      <c r="I213" s="898" t="s">
        <v>683</v>
      </c>
      <c r="J213" s="655" t="str">
        <f t="array" ref="J213:T213">IF(AND(QueryFlag="ON",NOT(ISNA(I213))),_xll.BondInfo(I213,$J$4:$T$4),"")</f>
        <v/>
      </c>
      <c r="K213" s="656" t="str">
        <v/>
      </c>
      <c r="L213" s="654" t="str">
        <v/>
      </c>
      <c r="M213" s="656" t="str">
        <v/>
      </c>
      <c r="N213" s="656" t="str">
        <v/>
      </c>
      <c r="O213" s="656" t="str">
        <v/>
      </c>
      <c r="P213" s="656" t="str">
        <v/>
      </c>
      <c r="Q213" s="657" t="str">
        <v/>
      </c>
      <c r="R213" s="658" t="str">
        <v/>
      </c>
      <c r="S213" s="655" t="str">
        <v/>
      </c>
      <c r="T213" s="658" t="str">
        <v/>
      </c>
      <c r="U213" s="665" t="str">
        <f>IF(AND(QueryFlag="ON",NOT(ISNA(I213))),_xll.BondOutstanding(I213),"")</f>
        <v/>
      </c>
    </row>
    <row r="214" spans="6:21">
      <c r="F214" s="908" t="s">
        <v>684</v>
      </c>
      <c r="G214" s="917">
        <f>IF(LEN($F214)&gt;1,_xll.BondInfo($F214,$G$4),"")</f>
        <v>45224</v>
      </c>
      <c r="I214" s="898" t="s">
        <v>684</v>
      </c>
      <c r="J214" s="655" t="str">
        <f t="array" ref="J214:T214">IF(AND(QueryFlag="ON",NOT(ISNA(I214))),_xll.BondInfo(I214,$J$4:$T$4),"")</f>
        <v/>
      </c>
      <c r="K214" s="656" t="str">
        <v/>
      </c>
      <c r="L214" s="654" t="str">
        <v/>
      </c>
      <c r="M214" s="656" t="str">
        <v/>
      </c>
      <c r="N214" s="656" t="str">
        <v/>
      </c>
      <c r="O214" s="656" t="str">
        <v/>
      </c>
      <c r="P214" s="656" t="str">
        <v/>
      </c>
      <c r="Q214" s="657" t="str">
        <v/>
      </c>
      <c r="R214" s="658" t="str">
        <v/>
      </c>
      <c r="S214" s="655" t="str">
        <v/>
      </c>
      <c r="T214" s="658" t="str">
        <v/>
      </c>
      <c r="U214" s="665" t="str">
        <f>IF(AND(QueryFlag="ON",NOT(ISNA(I214))),_xll.BondOutstanding(I214),"")</f>
        <v/>
      </c>
    </row>
    <row r="215" spans="6:21">
      <c r="F215" s="908" t="s">
        <v>685</v>
      </c>
      <c r="G215" s="917">
        <f>IF(LEN($F215)&gt;1,_xll.BondInfo($F215,$G$4),"")</f>
        <v>45437</v>
      </c>
      <c r="I215" s="898" t="s">
        <v>685</v>
      </c>
      <c r="J215" s="655" t="str">
        <f t="array" ref="J215:T215">IF(AND(QueryFlag="ON",NOT(ISNA(I215))),_xll.BondInfo(I215,$J$4:$T$4),"")</f>
        <v/>
      </c>
      <c r="K215" s="656" t="str">
        <v/>
      </c>
      <c r="L215" s="654" t="str">
        <v/>
      </c>
      <c r="M215" s="656" t="str">
        <v/>
      </c>
      <c r="N215" s="656" t="str">
        <v/>
      </c>
      <c r="O215" s="656" t="str">
        <v/>
      </c>
      <c r="P215" s="656" t="str">
        <v/>
      </c>
      <c r="Q215" s="657" t="str">
        <v/>
      </c>
      <c r="R215" s="658" t="str">
        <v/>
      </c>
      <c r="S215" s="655" t="str">
        <v/>
      </c>
      <c r="T215" s="658" t="str">
        <v/>
      </c>
      <c r="U215" s="665" t="str">
        <f>IF(AND(QueryFlag="ON",NOT(ISNA(I215))),_xll.BondOutstanding(I215),"")</f>
        <v/>
      </c>
    </row>
    <row r="216" spans="6:21">
      <c r="F216" s="908" t="s">
        <v>1639</v>
      </c>
      <c r="G216" s="917">
        <f>IF(LEN($F216)&gt;1,_xll.BondInfo($F216,$G$4),"")</f>
        <v>45498</v>
      </c>
      <c r="I216" s="898" t="s">
        <v>1639</v>
      </c>
      <c r="J216" s="655" t="str">
        <f t="array" ref="J216:T216">IF(AND(QueryFlag="ON",NOT(ISNA(I216))),_xll.BondInfo(I216,$J$4:$T$4),"")</f>
        <v/>
      </c>
      <c r="K216" s="656" t="str">
        <v/>
      </c>
      <c r="L216" s="654" t="str">
        <v/>
      </c>
      <c r="M216" s="656" t="str">
        <v/>
      </c>
      <c r="N216" s="656" t="str">
        <v/>
      </c>
      <c r="O216" s="656" t="str">
        <v/>
      </c>
      <c r="P216" s="656" t="str">
        <v/>
      </c>
      <c r="Q216" s="657" t="str">
        <v/>
      </c>
      <c r="R216" s="658" t="str">
        <v/>
      </c>
      <c r="S216" s="655" t="str">
        <v/>
      </c>
      <c r="T216" s="658" t="str">
        <v/>
      </c>
      <c r="U216" s="665" t="str">
        <f>IF(AND(QueryFlag="ON",NOT(ISNA(I216))),_xll.BondOutstanding(I216),"")</f>
        <v/>
      </c>
    </row>
    <row r="217" spans="6:21">
      <c r="F217" s="908" t="s">
        <v>417</v>
      </c>
      <c r="G217" s="917">
        <f>IF(LEN($F217)&gt;1,_xll.BondInfo($F217,$G$4),"")</f>
        <v>45621</v>
      </c>
      <c r="I217" s="898" t="s">
        <v>417</v>
      </c>
      <c r="J217" s="655" t="str">
        <f t="array" ref="J217:T217">IF(AND(QueryFlag="ON",NOT(ISNA(I217))),_xll.BondInfo(I217,$J$4:$T$4),"")</f>
        <v/>
      </c>
      <c r="K217" s="656" t="str">
        <v/>
      </c>
      <c r="L217" s="654" t="str">
        <v/>
      </c>
      <c r="M217" s="656" t="str">
        <v/>
      </c>
      <c r="N217" s="656" t="str">
        <v/>
      </c>
      <c r="O217" s="656" t="str">
        <v/>
      </c>
      <c r="P217" s="656" t="str">
        <v/>
      </c>
      <c r="Q217" s="657" t="str">
        <v/>
      </c>
      <c r="R217" s="658" t="str">
        <v/>
      </c>
      <c r="S217" s="655" t="str">
        <v/>
      </c>
      <c r="T217" s="658" t="str">
        <v/>
      </c>
      <c r="U217" s="665" t="str">
        <f>IF(AND(QueryFlag="ON",NOT(ISNA(I217))),_xll.BondOutstanding(I217),"")</f>
        <v/>
      </c>
    </row>
    <row r="218" spans="6:21">
      <c r="F218" s="908" t="s">
        <v>583</v>
      </c>
      <c r="G218" s="917">
        <f>IF(LEN($F218)&gt;1,_xll.BondInfo($F218,$G$4),"")</f>
        <v>45802</v>
      </c>
      <c r="I218" s="898" t="s">
        <v>583</v>
      </c>
      <c r="J218" s="655" t="str">
        <f t="array" ref="J218:T218">IF(AND(QueryFlag="ON",NOT(ISNA(I218))),_xll.BondInfo(I218,$J$4:$T$4),"")</f>
        <v/>
      </c>
      <c r="K218" s="656" t="str">
        <v/>
      </c>
      <c r="L218" s="654" t="str">
        <v/>
      </c>
      <c r="M218" s="656" t="str">
        <v/>
      </c>
      <c r="N218" s="656" t="str">
        <v/>
      </c>
      <c r="O218" s="656" t="str">
        <v/>
      </c>
      <c r="P218" s="656" t="str">
        <v/>
      </c>
      <c r="Q218" s="657" t="str">
        <v/>
      </c>
      <c r="R218" s="658" t="str">
        <v/>
      </c>
      <c r="S218" s="655" t="str">
        <v/>
      </c>
      <c r="T218" s="658" t="str">
        <v/>
      </c>
      <c r="U218" s="665" t="str">
        <f>IF(AND(QueryFlag="ON",NOT(ISNA(I218))),_xll.BondOutstanding(I218),"")</f>
        <v/>
      </c>
    </row>
    <row r="219" spans="6:21">
      <c r="F219" s="908" t="s">
        <v>686</v>
      </c>
      <c r="G219" s="917">
        <f>IF(LEN($F219)&gt;1,_xll.BondInfo($F219,$G$4),"")</f>
        <v>45955</v>
      </c>
      <c r="I219" s="898" t="s">
        <v>686</v>
      </c>
      <c r="J219" s="655" t="str">
        <f t="array" ref="J219:T219">IF(AND(QueryFlag="ON",NOT(ISNA(I219))),_xll.BondInfo(I219,$J$4:$T$4),"")</f>
        <v/>
      </c>
      <c r="K219" s="656" t="str">
        <v/>
      </c>
      <c r="L219" s="654" t="str">
        <v/>
      </c>
      <c r="M219" s="656" t="str">
        <v/>
      </c>
      <c r="N219" s="656" t="str">
        <v/>
      </c>
      <c r="O219" s="656" t="str">
        <v/>
      </c>
      <c r="P219" s="656" t="str">
        <v/>
      </c>
      <c r="Q219" s="657" t="str">
        <v/>
      </c>
      <c r="R219" s="658" t="str">
        <v/>
      </c>
      <c r="S219" s="655" t="str">
        <v/>
      </c>
      <c r="T219" s="658" t="str">
        <v/>
      </c>
      <c r="U219" s="665" t="str">
        <f>IF(AND(QueryFlag="ON",NOT(ISNA(I219))),_xll.BondOutstanding(I219),"")</f>
        <v/>
      </c>
    </row>
    <row r="220" spans="6:21">
      <c r="F220" s="908" t="s">
        <v>765</v>
      </c>
      <c r="G220" s="917">
        <f>IF(LEN($F220)&gt;1,_xll.BondInfo($F220,$G$4),"")</f>
        <v>45986</v>
      </c>
      <c r="I220" s="898" t="s">
        <v>765</v>
      </c>
      <c r="J220" s="655" t="str">
        <f t="array" ref="J220:T220">IF(AND(QueryFlag="ON",NOT(ISNA(I220))),_xll.BondInfo(I220,$J$4:$T$4),"")</f>
        <v/>
      </c>
      <c r="K220" s="656" t="str">
        <v/>
      </c>
      <c r="L220" s="654" t="str">
        <v/>
      </c>
      <c r="M220" s="656" t="str">
        <v/>
      </c>
      <c r="N220" s="656" t="str">
        <v/>
      </c>
      <c r="O220" s="656" t="str">
        <v/>
      </c>
      <c r="P220" s="656" t="str">
        <v/>
      </c>
      <c r="Q220" s="657" t="str">
        <v/>
      </c>
      <c r="R220" s="658" t="str">
        <v/>
      </c>
      <c r="S220" s="655" t="str">
        <v/>
      </c>
      <c r="T220" s="658" t="str">
        <v/>
      </c>
      <c r="U220" s="665" t="str">
        <f>IF(AND(QueryFlag="ON",NOT(ISNA(I220))),_xll.BondOutstanding(I220),"")</f>
        <v/>
      </c>
    </row>
    <row r="221" spans="6:21">
      <c r="F221" s="908" t="s">
        <v>687</v>
      </c>
      <c r="G221" s="917">
        <f>IF(LEN($F221)&gt;1,_xll.BondInfo($F221,$G$4),"")</f>
        <v>46137</v>
      </c>
      <c r="I221" s="898" t="s">
        <v>687</v>
      </c>
      <c r="J221" s="655" t="str">
        <f t="array" ref="J221:T221">IF(AND(QueryFlag="ON",NOT(ISNA(I221))),_xll.BondInfo(I221,$J$4:$T$4),"")</f>
        <v/>
      </c>
      <c r="K221" s="656" t="str">
        <v/>
      </c>
      <c r="L221" s="654" t="str">
        <v/>
      </c>
      <c r="M221" s="656" t="str">
        <v/>
      </c>
      <c r="N221" s="656" t="str">
        <v/>
      </c>
      <c r="O221" s="656" t="str">
        <v/>
      </c>
      <c r="P221" s="656" t="str">
        <v/>
      </c>
      <c r="Q221" s="657" t="str">
        <v/>
      </c>
      <c r="R221" s="658" t="str">
        <v/>
      </c>
      <c r="S221" s="655" t="str">
        <v/>
      </c>
      <c r="T221" s="658" t="str">
        <v/>
      </c>
      <c r="U221" s="665" t="str">
        <f>IF(AND(QueryFlag="ON",NOT(ISNA(I221))),_xll.BondOutstanding(I221),"")</f>
        <v/>
      </c>
    </row>
    <row r="222" spans="6:21">
      <c r="F222" s="908" t="s">
        <v>858</v>
      </c>
      <c r="G222" s="917">
        <f>IF(LEN($F222)&gt;1,_xll.BondInfo($F222,$G$4),"")</f>
        <v>46167</v>
      </c>
      <c r="I222" s="898" t="s">
        <v>858</v>
      </c>
      <c r="J222" s="655" t="str">
        <f t="array" ref="J222:T222">IF(AND(QueryFlag="ON",NOT(ISNA(I222))),_xll.BondInfo(I222,$J$4:$T$4),"")</f>
        <v/>
      </c>
      <c r="K222" s="656" t="str">
        <v/>
      </c>
      <c r="L222" s="654" t="str">
        <v/>
      </c>
      <c r="M222" s="656" t="str">
        <v/>
      </c>
      <c r="N222" s="656" t="str">
        <v/>
      </c>
      <c r="O222" s="656" t="str">
        <v/>
      </c>
      <c r="P222" s="656" t="str">
        <v/>
      </c>
      <c r="Q222" s="657" t="str">
        <v/>
      </c>
      <c r="R222" s="658" t="str">
        <v/>
      </c>
      <c r="S222" s="655" t="str">
        <v/>
      </c>
      <c r="T222" s="658" t="str">
        <v/>
      </c>
      <c r="U222" s="665" t="str">
        <f>IF(AND(QueryFlag="ON",NOT(ISNA(I222))),_xll.BondOutstanding(I222),"")</f>
        <v/>
      </c>
    </row>
    <row r="223" spans="6:21">
      <c r="F223" s="908" t="s">
        <v>893</v>
      </c>
      <c r="G223" s="917">
        <f>IF(LEN($F223)&gt;1,_xll.BondInfo($F223,$G$4),"")</f>
        <v>46351</v>
      </c>
      <c r="I223" s="898" t="s">
        <v>893</v>
      </c>
      <c r="J223" s="655" t="str">
        <f t="array" ref="J223:T223">IF(AND(QueryFlag="ON",NOT(ISNA(I223))),_xll.BondInfo(I223,$J$4:$T$4),"")</f>
        <v/>
      </c>
      <c r="K223" s="656" t="str">
        <v/>
      </c>
      <c r="L223" s="654" t="str">
        <v/>
      </c>
      <c r="M223" s="656" t="str">
        <v/>
      </c>
      <c r="N223" s="656" t="str">
        <v/>
      </c>
      <c r="O223" s="656" t="str">
        <v/>
      </c>
      <c r="P223" s="656" t="str">
        <v/>
      </c>
      <c r="Q223" s="657" t="str">
        <v/>
      </c>
      <c r="R223" s="658" t="str">
        <v/>
      </c>
      <c r="S223" s="655" t="str">
        <v/>
      </c>
      <c r="T223" s="658" t="str">
        <v/>
      </c>
      <c r="U223" s="665" t="str">
        <f>IF(AND(QueryFlag="ON",NOT(ISNA(I223))),_xll.BondOutstanding(I223),"")</f>
        <v/>
      </c>
    </row>
    <row r="224" spans="6:21">
      <c r="F224" s="908" t="s">
        <v>935</v>
      </c>
      <c r="G224" s="917">
        <f>IF(LEN($F224)&gt;1,_xll.BondInfo($F224,$G$4),"")</f>
        <v>46532</v>
      </c>
      <c r="I224" s="898" t="s">
        <v>935</v>
      </c>
      <c r="J224" s="655" t="str">
        <f t="array" ref="J224:T224">IF(AND(QueryFlag="ON",NOT(ISNA(I224))),_xll.BondInfo(I224,$J$4:$T$4),"")</f>
        <v/>
      </c>
      <c r="K224" s="656" t="str">
        <v/>
      </c>
      <c r="L224" s="654" t="str">
        <v/>
      </c>
      <c r="M224" s="656" t="str">
        <v/>
      </c>
      <c r="N224" s="656" t="str">
        <v/>
      </c>
      <c r="O224" s="656" t="str">
        <v/>
      </c>
      <c r="P224" s="656" t="str">
        <v/>
      </c>
      <c r="Q224" s="657" t="str">
        <v/>
      </c>
      <c r="R224" s="658" t="str">
        <v/>
      </c>
      <c r="S224" s="655" t="str">
        <v/>
      </c>
      <c r="T224" s="658" t="str">
        <v/>
      </c>
      <c r="U224" s="665" t="str">
        <f>IF(AND(QueryFlag="ON",NOT(ISNA(I224))),_xll.BondOutstanding(I224),"")</f>
        <v/>
      </c>
    </row>
    <row r="225" spans="6:21">
      <c r="F225" s="908" t="s">
        <v>688</v>
      </c>
      <c r="G225" s="917">
        <f>IF(LEN($F225)&gt;1,_xll.BondInfo($F225,$G$4),"")</f>
        <v>46685</v>
      </c>
      <c r="I225" s="898" t="s">
        <v>688</v>
      </c>
      <c r="J225" s="655" t="str">
        <f t="array" ref="J225:T225">IF(AND(QueryFlag="ON",NOT(ISNA(I225))),_xll.BondInfo(I225,$J$4:$T$4),"")</f>
        <v/>
      </c>
      <c r="K225" s="656" t="str">
        <v/>
      </c>
      <c r="L225" s="654" t="str">
        <v/>
      </c>
      <c r="M225" s="656" t="str">
        <v/>
      </c>
      <c r="N225" s="656" t="str">
        <v/>
      </c>
      <c r="O225" s="656" t="str">
        <v/>
      </c>
      <c r="P225" s="656" t="str">
        <v/>
      </c>
      <c r="Q225" s="657" t="str">
        <v/>
      </c>
      <c r="R225" s="658" t="str">
        <v/>
      </c>
      <c r="S225" s="655" t="str">
        <v/>
      </c>
      <c r="T225" s="658" t="str">
        <v/>
      </c>
      <c r="U225" s="665" t="str">
        <f>IF(AND(QueryFlag="ON",NOT(ISNA(I225))),_xll.BondOutstanding(I225),"")</f>
        <v/>
      </c>
    </row>
    <row r="226" spans="6:21">
      <c r="F226" s="908" t="s">
        <v>1640</v>
      </c>
      <c r="G226" s="917">
        <f>IF(LEN($F226)&gt;1,_xll.BondInfo($F226,$G$4),"")</f>
        <v>46813</v>
      </c>
      <c r="I226" s="898" t="s">
        <v>1640</v>
      </c>
      <c r="J226" s="655" t="str">
        <f t="array" ref="J226:T226">IF(AND(QueryFlag="ON",NOT(ISNA(I226))),_xll.BondInfo(I226,$J$4:$T$4),"")</f>
        <v/>
      </c>
      <c r="K226" s="656" t="str">
        <v/>
      </c>
      <c r="L226" s="654" t="str">
        <v/>
      </c>
      <c r="M226" s="656" t="str">
        <v/>
      </c>
      <c r="N226" s="656" t="str">
        <v/>
      </c>
      <c r="O226" s="656" t="str">
        <v/>
      </c>
      <c r="P226" s="656" t="str">
        <v/>
      </c>
      <c r="Q226" s="657" t="str">
        <v/>
      </c>
      <c r="R226" s="658" t="str">
        <v/>
      </c>
      <c r="S226" s="655" t="str">
        <v/>
      </c>
      <c r="T226" s="658" t="str">
        <v/>
      </c>
      <c r="U226" s="665" t="str">
        <f>IF(AND(QueryFlag="ON",NOT(ISNA(I226))),_xll.BondOutstanding(I226),"")</f>
        <v/>
      </c>
    </row>
    <row r="227" spans="6:21">
      <c r="F227" s="908" t="s">
        <v>1641</v>
      </c>
      <c r="G227" s="917">
        <f>IF(LEN($F227)&gt;1,_xll.BondInfo($F227,$G$4),"")</f>
        <v>46898</v>
      </c>
      <c r="I227" s="898" t="s">
        <v>1641</v>
      </c>
      <c r="J227" s="655" t="str">
        <f t="array" ref="J227:T227">IF(AND(QueryFlag="ON",NOT(ISNA(I227))),_xll.BondInfo(I227,$J$4:$T$4),"")</f>
        <v/>
      </c>
      <c r="K227" s="656" t="str">
        <v/>
      </c>
      <c r="L227" s="654" t="str">
        <v/>
      </c>
      <c r="M227" s="656" t="str">
        <v/>
      </c>
      <c r="N227" s="656" t="str">
        <v/>
      </c>
      <c r="O227" s="656" t="str">
        <v/>
      </c>
      <c r="P227" s="656" t="str">
        <v/>
      </c>
      <c r="Q227" s="657" t="str">
        <v/>
      </c>
      <c r="R227" s="658" t="str">
        <v/>
      </c>
      <c r="S227" s="655" t="str">
        <v/>
      </c>
      <c r="T227" s="658" t="str">
        <v/>
      </c>
      <c r="U227" s="665" t="str">
        <f>IF(AND(QueryFlag="ON",NOT(ISNA(I227))),_xll.BondOutstanding(I227),"")</f>
        <v/>
      </c>
    </row>
    <row r="228" spans="6:21">
      <c r="F228" s="908" t="s">
        <v>689</v>
      </c>
      <c r="G228" s="917">
        <f>IF(LEN($F228)&gt;1,_xll.BondInfo($F228,$G$4),"")</f>
        <v>47233</v>
      </c>
      <c r="I228" s="898" t="s">
        <v>689</v>
      </c>
      <c r="J228" s="655" t="str">
        <f t="array" ref="J228:T228">IF(AND(QueryFlag="ON",NOT(ISNA(I228))),_xll.BondInfo(I228,$J$4:$T$4),"")</f>
        <v/>
      </c>
      <c r="K228" s="656" t="str">
        <v/>
      </c>
      <c r="L228" s="654" t="str">
        <v/>
      </c>
      <c r="M228" s="656" t="str">
        <v/>
      </c>
      <c r="N228" s="656" t="str">
        <v/>
      </c>
      <c r="O228" s="656" t="str">
        <v/>
      </c>
      <c r="P228" s="656" t="str">
        <v/>
      </c>
      <c r="Q228" s="657" t="str">
        <v/>
      </c>
      <c r="R228" s="658" t="str">
        <v/>
      </c>
      <c r="S228" s="655" t="str">
        <v/>
      </c>
      <c r="T228" s="658" t="str">
        <v/>
      </c>
      <c r="U228" s="665" t="str">
        <f>IF(AND(QueryFlag="ON",NOT(ISNA(I228))),_xll.BondOutstanding(I228),"")</f>
        <v/>
      </c>
    </row>
    <row r="229" spans="6:21">
      <c r="F229" s="908" t="s">
        <v>418</v>
      </c>
      <c r="G229" s="917">
        <f>IF(LEN($F229)&gt;1,_xll.BondInfo($F229,$G$4),"")</f>
        <v>47628</v>
      </c>
      <c r="I229" s="898" t="s">
        <v>418</v>
      </c>
      <c r="J229" s="655" t="str">
        <f t="array" ref="J229:T229">IF(AND(QueryFlag="ON",NOT(ISNA(I229))),_xll.BondInfo(I229,$J$4:$T$4),"")</f>
        <v/>
      </c>
      <c r="K229" s="656" t="str">
        <v/>
      </c>
      <c r="L229" s="654" t="str">
        <v/>
      </c>
      <c r="M229" s="656" t="str">
        <v/>
      </c>
      <c r="N229" s="656" t="str">
        <v/>
      </c>
      <c r="O229" s="656" t="str">
        <v/>
      </c>
      <c r="P229" s="656" t="str">
        <v/>
      </c>
      <c r="Q229" s="657" t="str">
        <v/>
      </c>
      <c r="R229" s="658" t="str">
        <v/>
      </c>
      <c r="S229" s="655" t="str">
        <v/>
      </c>
      <c r="T229" s="658" t="str">
        <v/>
      </c>
      <c r="U229" s="665" t="str">
        <f>IF(AND(QueryFlag="ON",NOT(ISNA(I229))),_xll.BondOutstanding(I229),"")</f>
        <v/>
      </c>
    </row>
    <row r="230" spans="6:21">
      <c r="F230" s="908" t="s">
        <v>767</v>
      </c>
      <c r="G230" s="917">
        <f>IF(LEN($F230)&gt;1,_xll.BondInfo($F230,$G$4),"")</f>
        <v>47993</v>
      </c>
      <c r="I230" s="898" t="s">
        <v>767</v>
      </c>
      <c r="J230" s="655" t="str">
        <f t="array" ref="J230:T230">IF(AND(QueryFlag="ON",NOT(ISNA(I230))),_xll.BondInfo(I230,$J$4:$T$4),"")</f>
        <v/>
      </c>
      <c r="K230" s="656" t="str">
        <v/>
      </c>
      <c r="L230" s="654" t="str">
        <v/>
      </c>
      <c r="M230" s="656" t="str">
        <v/>
      </c>
      <c r="N230" s="656" t="str">
        <v/>
      </c>
      <c r="O230" s="656" t="str">
        <v/>
      </c>
      <c r="P230" s="656" t="str">
        <v/>
      </c>
      <c r="Q230" s="657" t="str">
        <v/>
      </c>
      <c r="R230" s="658" t="str">
        <v/>
      </c>
      <c r="S230" s="655" t="str">
        <v/>
      </c>
      <c r="T230" s="658" t="str">
        <v/>
      </c>
      <c r="U230" s="665" t="str">
        <f>IF(AND(QueryFlag="ON",NOT(ISNA(I230))),_xll.BondOutstanding(I230),"")</f>
        <v/>
      </c>
    </row>
    <row r="231" spans="6:21">
      <c r="F231" s="908" t="s">
        <v>690</v>
      </c>
      <c r="G231" s="917">
        <f>IF(LEN($F231)&gt;1,_xll.BondInfo($F231,$G$4),"")</f>
        <v>48512</v>
      </c>
      <c r="I231" s="898" t="s">
        <v>690</v>
      </c>
      <c r="J231" s="655" t="str">
        <f t="array" ref="J231:T231">IF(AND(QueryFlag="ON",NOT(ISNA(I231))),_xll.BondInfo(I231,$J$4:$T$4),"")</f>
        <v/>
      </c>
      <c r="K231" s="656" t="str">
        <v/>
      </c>
      <c r="L231" s="654" t="str">
        <v/>
      </c>
      <c r="M231" s="656" t="str">
        <v/>
      </c>
      <c r="N231" s="656" t="str">
        <v/>
      </c>
      <c r="O231" s="656" t="str">
        <v/>
      </c>
      <c r="P231" s="656" t="str">
        <v/>
      </c>
      <c r="Q231" s="657" t="str">
        <v/>
      </c>
      <c r="R231" s="658" t="str">
        <v/>
      </c>
      <c r="S231" s="655" t="str">
        <v/>
      </c>
      <c r="T231" s="658" t="str">
        <v/>
      </c>
      <c r="U231" s="665" t="str">
        <f>IF(AND(QueryFlag="ON",NOT(ISNA(I231))),_xll.BondOutstanding(I231),"")</f>
        <v/>
      </c>
    </row>
    <row r="232" spans="6:21">
      <c r="F232" s="908" t="s">
        <v>1723</v>
      </c>
      <c r="G232" s="917">
        <f>IF(LEN($F232)&gt;1,_xll.BondInfo($F232,$G$4),"")</f>
        <v>49089</v>
      </c>
      <c r="I232" s="898" t="s">
        <v>1723</v>
      </c>
      <c r="J232" s="655" t="str">
        <f t="array" ref="J232:T232">IF(AND(QueryFlag="ON",NOT(ISNA(I232))),_xll.BondInfo(I232,$J$4:$T$4),"")</f>
        <v/>
      </c>
      <c r="K232" s="656" t="str">
        <v/>
      </c>
      <c r="L232" s="654" t="str">
        <v/>
      </c>
      <c r="M232" s="656" t="str">
        <v/>
      </c>
      <c r="N232" s="656" t="str">
        <v/>
      </c>
      <c r="O232" s="656" t="str">
        <v/>
      </c>
      <c r="P232" s="656" t="str">
        <v/>
      </c>
      <c r="Q232" s="657" t="str">
        <v/>
      </c>
      <c r="R232" s="658" t="str">
        <v/>
      </c>
      <c r="S232" s="655" t="str">
        <v/>
      </c>
      <c r="T232" s="658" t="str">
        <v/>
      </c>
      <c r="U232" s="665" t="str">
        <f>IF(AND(QueryFlag="ON",NOT(ISNA(I232))),_xll.BondOutstanding(I232),"")</f>
        <v/>
      </c>
    </row>
    <row r="233" spans="6:21">
      <c r="F233" s="908" t="s">
        <v>691</v>
      </c>
      <c r="G233" s="917">
        <f>IF(LEN($F233)&gt;1,_xll.BondInfo($F233,$G$4),"")</f>
        <v>49424</v>
      </c>
      <c r="I233" s="898" t="s">
        <v>691</v>
      </c>
      <c r="J233" s="655" t="str">
        <f t="array" ref="J233:T233">IF(AND(QueryFlag="ON",NOT(ISNA(I233))),_xll.BondInfo(I233,$J$4:$T$4),"")</f>
        <v/>
      </c>
      <c r="K233" s="656" t="str">
        <v/>
      </c>
      <c r="L233" s="654" t="str">
        <v/>
      </c>
      <c r="M233" s="656" t="str">
        <v/>
      </c>
      <c r="N233" s="656" t="str">
        <v/>
      </c>
      <c r="O233" s="656" t="str">
        <v/>
      </c>
      <c r="P233" s="656" t="str">
        <v/>
      </c>
      <c r="Q233" s="657" t="str">
        <v/>
      </c>
      <c r="R233" s="658" t="str">
        <v/>
      </c>
      <c r="S233" s="655" t="str">
        <v/>
      </c>
      <c r="T233" s="658" t="str">
        <v/>
      </c>
      <c r="U233" s="665" t="str">
        <f>IF(AND(QueryFlag="ON",NOT(ISNA(I233))),_xll.BondOutstanding(I233),"")</f>
        <v/>
      </c>
    </row>
    <row r="234" spans="6:21">
      <c r="F234" s="908" t="s">
        <v>860</v>
      </c>
      <c r="G234" s="917">
        <f>IF(LEN($F234)&gt;1,_xll.BondInfo($F234,$G$4),"")</f>
        <v>49820</v>
      </c>
      <c r="I234" s="898" t="s">
        <v>860</v>
      </c>
      <c r="J234" s="655" t="str">
        <f t="array" ref="J234:T234">IF(AND(QueryFlag="ON",NOT(ISNA(I234))),_xll.BondInfo(I234,$J$4:$T$4),"")</f>
        <v/>
      </c>
      <c r="K234" s="656" t="str">
        <v/>
      </c>
      <c r="L234" s="654" t="str">
        <v/>
      </c>
      <c r="M234" s="656" t="str">
        <v/>
      </c>
      <c r="N234" s="656" t="str">
        <v/>
      </c>
      <c r="O234" s="656" t="str">
        <v/>
      </c>
      <c r="P234" s="656" t="str">
        <v/>
      </c>
      <c r="Q234" s="657" t="str">
        <v/>
      </c>
      <c r="R234" s="658" t="str">
        <v/>
      </c>
      <c r="S234" s="655" t="str">
        <v/>
      </c>
      <c r="T234" s="658" t="str">
        <v/>
      </c>
      <c r="U234" s="665" t="str">
        <f>IF(AND(QueryFlag="ON",NOT(ISNA(I234))),_xll.BondOutstanding(I234),"")</f>
        <v/>
      </c>
    </row>
    <row r="235" spans="6:21">
      <c r="F235" s="908" t="s">
        <v>692</v>
      </c>
      <c r="G235" s="917">
        <f>IF(LEN($F235)&gt;1,_xll.BondInfo($F235,$G$4),"")</f>
        <v>50703</v>
      </c>
      <c r="I235" s="898" t="s">
        <v>692</v>
      </c>
      <c r="J235" s="655" t="str">
        <f t="array" ref="J235:T235">IF(AND(QueryFlag="ON",NOT(ISNA(I235))),_xll.BondInfo(I235,$J$4:$T$4),"")</f>
        <v/>
      </c>
      <c r="K235" s="656" t="str">
        <v/>
      </c>
      <c r="L235" s="654" t="str">
        <v/>
      </c>
      <c r="M235" s="656" t="str">
        <v/>
      </c>
      <c r="N235" s="656" t="str">
        <v/>
      </c>
      <c r="O235" s="656" t="str">
        <v/>
      </c>
      <c r="P235" s="656" t="str">
        <v/>
      </c>
      <c r="Q235" s="657" t="str">
        <v/>
      </c>
      <c r="R235" s="658" t="str">
        <v/>
      </c>
      <c r="S235" s="655" t="str">
        <v/>
      </c>
      <c r="T235" s="658" t="str">
        <v/>
      </c>
      <c r="U235" s="665" t="str">
        <f>IF(AND(QueryFlag="ON",NOT(ISNA(I235))),_xll.BondOutstanding(I235),"")</f>
        <v/>
      </c>
    </row>
    <row r="236" spans="6:21">
      <c r="F236" s="908" t="s">
        <v>925</v>
      </c>
      <c r="G236" s="917">
        <f>IF(LEN($F236)&gt;1,_xll.BondInfo($F236,$G$4),"")</f>
        <v>50946</v>
      </c>
      <c r="I236" s="898" t="s">
        <v>925</v>
      </c>
      <c r="J236" s="655" t="str">
        <f t="array" ref="J236:T236">IF(AND(QueryFlag="ON",NOT(ISNA(I236))),_xll.BondInfo(I236,$J$4:$T$4),"")</f>
        <v/>
      </c>
      <c r="K236" s="656" t="str">
        <v/>
      </c>
      <c r="L236" s="654" t="str">
        <v/>
      </c>
      <c r="M236" s="656" t="str">
        <v/>
      </c>
      <c r="N236" s="656" t="str">
        <v/>
      </c>
      <c r="O236" s="656" t="str">
        <v/>
      </c>
      <c r="P236" s="656" t="str">
        <v/>
      </c>
      <c r="Q236" s="657" t="str">
        <v/>
      </c>
      <c r="R236" s="658" t="str">
        <v/>
      </c>
      <c r="S236" s="655" t="str">
        <v/>
      </c>
      <c r="T236" s="658" t="str">
        <v/>
      </c>
      <c r="U236" s="665" t="str">
        <f>IF(AND(QueryFlag="ON",NOT(ISNA(I236))),_xll.BondOutstanding(I236),"")</f>
        <v/>
      </c>
    </row>
    <row r="237" spans="6:21">
      <c r="F237" s="908" t="s">
        <v>693</v>
      </c>
      <c r="G237" s="917">
        <f>IF(LEN($F237)&gt;1,_xll.BondInfo($F237,$G$4),"")</f>
        <v>51616</v>
      </c>
      <c r="I237" s="898" t="s">
        <v>693</v>
      </c>
      <c r="J237" s="655" t="str">
        <f t="array" ref="J237:T237">IF(AND(QueryFlag="ON",NOT(ISNA(I237))),_xll.BondInfo(I237,$J$4:$T$4),"")</f>
        <v/>
      </c>
      <c r="K237" s="656" t="str">
        <v/>
      </c>
      <c r="L237" s="654" t="str">
        <v/>
      </c>
      <c r="M237" s="656" t="str">
        <v/>
      </c>
      <c r="N237" s="656" t="str">
        <v/>
      </c>
      <c r="O237" s="656" t="str">
        <v/>
      </c>
      <c r="P237" s="656" t="str">
        <v/>
      </c>
      <c r="Q237" s="657" t="str">
        <v/>
      </c>
      <c r="R237" s="658" t="str">
        <v/>
      </c>
      <c r="S237" s="655" t="str">
        <v/>
      </c>
      <c r="T237" s="658" t="str">
        <v/>
      </c>
      <c r="U237" s="665" t="str">
        <f>IF(AND(QueryFlag="ON",NOT(ISNA(I237))),_xll.BondOutstanding(I237),"")</f>
        <v/>
      </c>
    </row>
    <row r="238" spans="6:21">
      <c r="F238" s="908" t="s">
        <v>694</v>
      </c>
      <c r="G238" s="917">
        <f>IF(LEN($F238)&gt;1,_xll.BondInfo($F238,$G$4),"")</f>
        <v>53107</v>
      </c>
      <c r="I238" s="898" t="s">
        <v>694</v>
      </c>
      <c r="J238" s="655" t="str">
        <f t="array" ref="J238:T238">IF(AND(QueryFlag="ON",NOT(ISNA(I238))),_xll.BondInfo(I238,$J$4:$T$4),"")</f>
        <v/>
      </c>
      <c r="K238" s="656" t="str">
        <v/>
      </c>
      <c r="L238" s="654" t="str">
        <v/>
      </c>
      <c r="M238" s="656" t="str">
        <v/>
      </c>
      <c r="N238" s="656" t="str">
        <v/>
      </c>
      <c r="O238" s="656" t="str">
        <v/>
      </c>
      <c r="P238" s="656" t="str">
        <v/>
      </c>
      <c r="Q238" s="657" t="str">
        <v/>
      </c>
      <c r="R238" s="658" t="str">
        <v/>
      </c>
      <c r="S238" s="655" t="str">
        <v/>
      </c>
      <c r="T238" s="658" t="str">
        <v/>
      </c>
      <c r="U238" s="665" t="str">
        <f>IF(AND(QueryFlag="ON",NOT(ISNA(I238))),_xll.BondOutstanding(I238),"")</f>
        <v/>
      </c>
    </row>
    <row r="239" spans="6:21">
      <c r="F239" s="908" t="s">
        <v>1642</v>
      </c>
      <c r="G239" s="917">
        <f>IF(LEN($F239)&gt;1,_xll.BondInfo($F239,$G$4),"")</f>
        <v>53898</v>
      </c>
      <c r="I239" s="898" t="s">
        <v>1642</v>
      </c>
      <c r="J239" s="655" t="str">
        <f t="array" ref="J239:T239">IF(AND(QueryFlag="ON",NOT(ISNA(I239))),_xll.BondInfo(I239,$J$4:$T$4),"")</f>
        <v/>
      </c>
      <c r="K239" s="656" t="str">
        <v/>
      </c>
      <c r="L239" s="654" t="str">
        <v/>
      </c>
      <c r="M239" s="656" t="str">
        <v/>
      </c>
      <c r="N239" s="656" t="str">
        <v/>
      </c>
      <c r="O239" s="656" t="str">
        <v/>
      </c>
      <c r="P239" s="656" t="str">
        <v/>
      </c>
      <c r="Q239" s="657" t="str">
        <v/>
      </c>
      <c r="R239" s="658" t="str">
        <v/>
      </c>
      <c r="S239" s="655" t="str">
        <v/>
      </c>
      <c r="T239" s="658" t="str">
        <v/>
      </c>
      <c r="U239" s="665" t="str">
        <f>IF(AND(QueryFlag="ON",NOT(ISNA(I239))),_xll.BondOutstanding(I239),"")</f>
        <v/>
      </c>
    </row>
    <row r="240" spans="6:21">
      <c r="F240" s="908" t="s">
        <v>979</v>
      </c>
      <c r="G240" s="917">
        <f>IF(LEN($F240)&gt;1,_xll.BondInfo($F240,$G$4),"")</f>
        <v>54203</v>
      </c>
      <c r="I240" s="898" t="s">
        <v>979</v>
      </c>
      <c r="J240" s="655" t="str">
        <f t="array" ref="J240:T240">IF(AND(QueryFlag="ON",NOT(ISNA(I240))),_xll.BondInfo(I240,$J$4:$T$4),"")</f>
        <v/>
      </c>
      <c r="K240" s="656" t="str">
        <v/>
      </c>
      <c r="L240" s="654" t="str">
        <v/>
      </c>
      <c r="M240" s="656" t="str">
        <v/>
      </c>
      <c r="N240" s="656" t="str">
        <v/>
      </c>
      <c r="O240" s="656" t="str">
        <v/>
      </c>
      <c r="P240" s="656" t="str">
        <v/>
      </c>
      <c r="Q240" s="657" t="str">
        <v/>
      </c>
      <c r="R240" s="658" t="str">
        <v/>
      </c>
      <c r="S240" s="655" t="str">
        <v/>
      </c>
      <c r="T240" s="658" t="str">
        <v/>
      </c>
      <c r="U240" s="665" t="str">
        <f>IF(AND(QueryFlag="ON",NOT(ISNA(I240))),_xll.BondOutstanding(I240),"")</f>
        <v/>
      </c>
    </row>
    <row r="241" spans="6:21">
      <c r="F241" s="908" t="s">
        <v>695</v>
      </c>
      <c r="G241" s="917">
        <f>IF(LEN($F241)&gt;1,_xll.BondInfo($F241,$G$4),"")</f>
        <v>56729</v>
      </c>
      <c r="I241" s="898" t="s">
        <v>695</v>
      </c>
      <c r="J241" s="655" t="str">
        <f t="array" ref="J241:T241">IF(AND(QueryFlag="ON",NOT(ISNA(I241))),_xll.BondInfo(I241,$J$4:$T$4),"")</f>
        <v/>
      </c>
      <c r="K241" s="656" t="str">
        <v/>
      </c>
      <c r="L241" s="654" t="str">
        <v/>
      </c>
      <c r="M241" s="656" t="str">
        <v/>
      </c>
      <c r="N241" s="656" t="str">
        <v/>
      </c>
      <c r="O241" s="656" t="str">
        <v/>
      </c>
      <c r="P241" s="656" t="str">
        <v/>
      </c>
      <c r="Q241" s="657" t="str">
        <v/>
      </c>
      <c r="R241" s="658" t="str">
        <v/>
      </c>
      <c r="S241" s="655" t="str">
        <v/>
      </c>
      <c r="T241" s="658" t="str">
        <v/>
      </c>
      <c r="U241" s="665" t="str">
        <f>IF(AND(QueryFlag="ON",NOT(ISNA(I241))),_xll.BondOutstanding(I241),"")</f>
        <v/>
      </c>
    </row>
    <row r="242" spans="6:21">
      <c r="F242" s="908" t="s">
        <v>696</v>
      </c>
      <c r="G242" s="917">
        <f>IF(LEN($F242)&gt;1,_xll.BondInfo($F242,$G$4),"")</f>
        <v>58556</v>
      </c>
      <c r="I242" s="898" t="s">
        <v>696</v>
      </c>
      <c r="J242" s="655" t="str">
        <f t="array" ref="J242:T242">IF(AND(QueryFlag="ON",NOT(ISNA(I242))),_xll.BondInfo(I242,$J$4:$T$4),"")</f>
        <v/>
      </c>
      <c r="K242" s="656" t="str">
        <v/>
      </c>
      <c r="L242" s="654" t="str">
        <v/>
      </c>
      <c r="M242" s="656" t="str">
        <v/>
      </c>
      <c r="N242" s="656" t="str">
        <v/>
      </c>
      <c r="O242" s="656" t="str">
        <v/>
      </c>
      <c r="P242" s="656" t="str">
        <v/>
      </c>
      <c r="Q242" s="657" t="str">
        <v/>
      </c>
      <c r="R242" s="658" t="str">
        <v/>
      </c>
      <c r="S242" s="655" t="str">
        <v/>
      </c>
      <c r="T242" s="658" t="str">
        <v/>
      </c>
      <c r="U242" s="665" t="str">
        <f>IF(AND(QueryFlag="ON",NOT(ISNA(I242))),_xll.BondOutstanding(I242),"")</f>
        <v/>
      </c>
    </row>
    <row r="243" spans="6:21">
      <c r="F243" s="908" t="s">
        <v>862</v>
      </c>
      <c r="G243" s="917">
        <f>IF(LEN($F243)&gt;1,_xll.BondInfo($F243,$G$4),"")</f>
        <v>60777</v>
      </c>
      <c r="I243" s="898" t="s">
        <v>862</v>
      </c>
      <c r="J243" s="655" t="str">
        <f t="array" ref="J243:T243">IF(AND(QueryFlag="ON",NOT(ISNA(I243))),_xll.BondInfo(I243,$J$4:$T$4),"")</f>
        <v/>
      </c>
      <c r="K243" s="656" t="str">
        <v/>
      </c>
      <c r="L243" s="654" t="str">
        <v/>
      </c>
      <c r="M243" s="656" t="str">
        <v/>
      </c>
      <c r="N243" s="656" t="str">
        <v/>
      </c>
      <c r="O243" s="656" t="str">
        <v/>
      </c>
      <c r="P243" s="656" t="str">
        <v/>
      </c>
      <c r="Q243" s="657" t="str">
        <v/>
      </c>
      <c r="R243" s="658" t="str">
        <v/>
      </c>
      <c r="S243" s="655" t="str">
        <v/>
      </c>
      <c r="T243" s="658" t="str">
        <v/>
      </c>
      <c r="U243" s="665" t="str">
        <f>IF(AND(QueryFlag="ON",NOT(ISNA(I243))),_xll.BondOutstanding(I243),"")</f>
        <v/>
      </c>
    </row>
    <row r="244" spans="6:21">
      <c r="F244" s="908"/>
      <c r="G244" s="917" t="str">
        <f>IF(LEN($F244)&gt;1,_xll.BondInfo($F244,$G$4),"")</f>
        <v/>
      </c>
      <c r="I244" s="898"/>
      <c r="J244" s="655" t="str">
        <f t="array" ref="J244:T244">IF(AND(QueryFlag="ON",NOT(ISNA(I244))),_xll.BondInfo(I244,$J$4:$T$4),"")</f>
        <v/>
      </c>
      <c r="K244" s="656" t="str">
        <v/>
      </c>
      <c r="L244" s="654" t="str">
        <v/>
      </c>
      <c r="M244" s="656" t="str">
        <v/>
      </c>
      <c r="N244" s="656" t="str">
        <v/>
      </c>
      <c r="O244" s="656" t="str">
        <v/>
      </c>
      <c r="P244" s="656" t="str">
        <v/>
      </c>
      <c r="Q244" s="657" t="str">
        <v/>
      </c>
      <c r="R244" s="658" t="str">
        <v/>
      </c>
      <c r="S244" s="655" t="str">
        <v/>
      </c>
      <c r="T244" s="658" t="str">
        <v/>
      </c>
      <c r="U244" s="665" t="str">
        <f>IF(AND(QueryFlag="ON",NOT(ISNA(I244))),_xll.BondOutstanding(I244),"")</f>
        <v/>
      </c>
    </row>
    <row r="245" spans="6:21">
      <c r="F245" s="908"/>
      <c r="G245" s="917" t="str">
        <f>IF(LEN($F245)&gt;1,_xll.BondInfo($F245,$G$4),"")</f>
        <v/>
      </c>
      <c r="I245" s="898"/>
      <c r="J245" s="655" t="str">
        <f t="array" ref="J245:T245">IF(AND(QueryFlag="ON",NOT(ISNA(I245))),_xll.BondInfo(I245,$J$4:$T$4),"")</f>
        <v/>
      </c>
      <c r="K245" s="656" t="str">
        <v/>
      </c>
      <c r="L245" s="654" t="str">
        <v/>
      </c>
      <c r="M245" s="656" t="str">
        <v/>
      </c>
      <c r="N245" s="656" t="str">
        <v/>
      </c>
      <c r="O245" s="656" t="str">
        <v/>
      </c>
      <c r="P245" s="656" t="str">
        <v/>
      </c>
      <c r="Q245" s="657" t="str">
        <v/>
      </c>
      <c r="R245" s="658" t="str">
        <v/>
      </c>
      <c r="S245" s="655" t="str">
        <v/>
      </c>
      <c r="T245" s="658" t="str">
        <v/>
      </c>
      <c r="U245" s="665" t="str">
        <f>IF(AND(QueryFlag="ON",NOT(ISNA(I245))),_xll.BondOutstanding(I245),"")</f>
        <v/>
      </c>
    </row>
    <row r="246" spans="6:21">
      <c r="F246" s="908"/>
      <c r="G246" s="917" t="str">
        <f>IF(LEN($F246)&gt;1,_xll.BondInfo($F246,$G$4),"")</f>
        <v/>
      </c>
      <c r="I246" s="899"/>
      <c r="J246" s="655" t="str">
        <f t="array" ref="J246:T246">IF(AND(QueryFlag="ON",NOT(ISNA(I246))),_xll.BondInfo(I246,$J$4:$T$4),"")</f>
        <v/>
      </c>
      <c r="K246" s="656" t="str">
        <v/>
      </c>
      <c r="L246" s="654" t="str">
        <v/>
      </c>
      <c r="M246" s="656" t="str">
        <v/>
      </c>
      <c r="N246" s="656" t="str">
        <v/>
      </c>
      <c r="O246" s="656" t="str">
        <v/>
      </c>
      <c r="P246" s="656" t="str">
        <v/>
      </c>
      <c r="Q246" s="657" t="str">
        <v/>
      </c>
      <c r="R246" s="658" t="str">
        <v/>
      </c>
      <c r="S246" s="655" t="str">
        <v/>
      </c>
      <c r="T246" s="658" t="str">
        <v/>
      </c>
      <c r="U246" s="665" t="str">
        <f>IF(AND(QueryFlag="ON",NOT(ISNA(I246))),_xll.BondOutstanding(I246),"")</f>
        <v/>
      </c>
    </row>
    <row r="247" spans="6:21">
      <c r="F247" s="908"/>
      <c r="G247" s="917" t="str">
        <f>IF(LEN($F247)&gt;1,_xll.BondInfo($F247,$G$4),"")</f>
        <v/>
      </c>
      <c r="I247" s="899"/>
      <c r="J247" s="655" t="str">
        <f t="array" ref="J247:T247">IF(AND(QueryFlag="ON",NOT(ISNA(I247))),_xll.BondInfo(I247,$J$4:$T$4),"")</f>
        <v/>
      </c>
      <c r="K247" s="656" t="str">
        <v/>
      </c>
      <c r="L247" s="654" t="str">
        <v/>
      </c>
      <c r="M247" s="656" t="str">
        <v/>
      </c>
      <c r="N247" s="656" t="str">
        <v/>
      </c>
      <c r="O247" s="656" t="str">
        <v/>
      </c>
      <c r="P247" s="656" t="str">
        <v/>
      </c>
      <c r="Q247" s="657" t="str">
        <v/>
      </c>
      <c r="R247" s="658" t="str">
        <v/>
      </c>
      <c r="S247" s="655" t="str">
        <v/>
      </c>
      <c r="T247" s="658" t="str">
        <v/>
      </c>
      <c r="U247" s="665" t="str">
        <f>IF(AND(QueryFlag="ON",NOT(ISNA(I247))),_xll.BondOutstanding(I247),"")</f>
        <v/>
      </c>
    </row>
    <row r="248" spans="6:21">
      <c r="F248" s="908"/>
      <c r="G248" s="917" t="str">
        <f>IF(LEN($F248)&gt;1,_xll.BondInfo($F248,$G$4),"")</f>
        <v/>
      </c>
      <c r="I248" s="899"/>
      <c r="J248" s="655" t="str">
        <f t="array" ref="J248:T248">IF(AND(QueryFlag="ON",NOT(ISNA(I248))),_xll.BondInfo(I248,$J$4:$T$4),"")</f>
        <v/>
      </c>
      <c r="K248" s="656" t="str">
        <v/>
      </c>
      <c r="L248" s="654" t="str">
        <v/>
      </c>
      <c r="M248" s="656" t="str">
        <v/>
      </c>
      <c r="N248" s="656" t="str">
        <v/>
      </c>
      <c r="O248" s="656" t="str">
        <v/>
      </c>
      <c r="P248" s="656" t="str">
        <v/>
      </c>
      <c r="Q248" s="657" t="str">
        <v/>
      </c>
      <c r="R248" s="658" t="str">
        <v/>
      </c>
      <c r="S248" s="655" t="str">
        <v/>
      </c>
      <c r="T248" s="658" t="str">
        <v/>
      </c>
      <c r="U248" s="665" t="str">
        <f>IF(AND(QueryFlag="ON",NOT(ISNA(I248))),_xll.BondOutstanding(I248),"")</f>
        <v/>
      </c>
    </row>
    <row r="249" spans="6:21">
      <c r="F249" s="908"/>
      <c r="G249" s="917" t="str">
        <f>IF(LEN($F249)&gt;1,_xll.BondInfo($F249,$G$4),"")</f>
        <v/>
      </c>
      <c r="I249" s="899"/>
      <c r="J249" s="655" t="str">
        <f t="array" ref="J249:T249">IF(AND(QueryFlag="ON",NOT(ISNA(I249))),_xll.BondInfo(I249,$J$4:$T$4),"")</f>
        <v/>
      </c>
      <c r="K249" s="656" t="str">
        <v/>
      </c>
      <c r="L249" s="654" t="str">
        <v/>
      </c>
      <c r="M249" s="656" t="str">
        <v/>
      </c>
      <c r="N249" s="656" t="str">
        <v/>
      </c>
      <c r="O249" s="656" t="str">
        <v/>
      </c>
      <c r="P249" s="656" t="str">
        <v/>
      </c>
      <c r="Q249" s="657" t="str">
        <v/>
      </c>
      <c r="R249" s="658" t="str">
        <v/>
      </c>
      <c r="S249" s="655" t="str">
        <v/>
      </c>
      <c r="T249" s="658" t="str">
        <v/>
      </c>
      <c r="U249" s="665" t="str">
        <f>IF(AND(QueryFlag="ON",NOT(ISNA(I249))),_xll.BondOutstanding(I249),"")</f>
        <v/>
      </c>
    </row>
    <row r="250" spans="6:21">
      <c r="F250" s="908"/>
      <c r="G250" s="917" t="str">
        <f>IF(LEN($F250)&gt;1,_xll.BondInfo($F250,$G$4),"")</f>
        <v/>
      </c>
      <c r="I250" s="899"/>
      <c r="J250" s="655" t="str">
        <f t="array" ref="J250:T250">IF(AND(QueryFlag="ON",NOT(ISNA(I250))),_xll.BondInfo(I250,$J$4:$T$4),"")</f>
        <v/>
      </c>
      <c r="K250" s="656" t="str">
        <v/>
      </c>
      <c r="L250" s="654" t="str">
        <v/>
      </c>
      <c r="M250" s="656" t="str">
        <v/>
      </c>
      <c r="N250" s="656" t="str">
        <v/>
      </c>
      <c r="O250" s="656" t="str">
        <v/>
      </c>
      <c r="P250" s="656" t="str">
        <v/>
      </c>
      <c r="Q250" s="657" t="str">
        <v/>
      </c>
      <c r="R250" s="658" t="str">
        <v/>
      </c>
      <c r="S250" s="655" t="str">
        <v/>
      </c>
      <c r="T250" s="658" t="str">
        <v/>
      </c>
      <c r="U250" s="665" t="str">
        <f>IF(AND(QueryFlag="ON",NOT(ISNA(I250))),_xll.BondOutstanding(I250),"")</f>
        <v/>
      </c>
    </row>
    <row r="251" spans="6:21">
      <c r="F251" s="908"/>
      <c r="G251" s="917" t="str">
        <f>IF(LEN($F251)&gt;1,_xll.BondInfo($F251,$G$4),"")</f>
        <v/>
      </c>
      <c r="I251" s="899"/>
      <c r="J251" s="655" t="str">
        <f t="array" ref="J251:T251">IF(AND(QueryFlag="ON",NOT(ISNA(I251))),_xll.BondInfo(I251,$J$4:$T$4),"")</f>
        <v/>
      </c>
      <c r="K251" s="656" t="str">
        <v/>
      </c>
      <c r="L251" s="654" t="str">
        <v/>
      </c>
      <c r="M251" s="656" t="str">
        <v/>
      </c>
      <c r="N251" s="656" t="str">
        <v/>
      </c>
      <c r="O251" s="656" t="str">
        <v/>
      </c>
      <c r="P251" s="656" t="str">
        <v/>
      </c>
      <c r="Q251" s="657" t="str">
        <v/>
      </c>
      <c r="R251" s="658" t="str">
        <v/>
      </c>
      <c r="S251" s="655" t="str">
        <v/>
      </c>
      <c r="T251" s="658" t="str">
        <v/>
      </c>
      <c r="U251" s="665" t="str">
        <f>IF(AND(QueryFlag="ON",NOT(ISNA(I251))),_xll.BondOutstanding(I251),"")</f>
        <v/>
      </c>
    </row>
    <row r="252" spans="6:21">
      <c r="F252" s="908"/>
      <c r="G252" s="917" t="str">
        <f>IF(LEN($F252)&gt;1,_xll.BondInfo($F252,$G$4),"")</f>
        <v/>
      </c>
      <c r="I252" s="899"/>
      <c r="J252" s="655" t="str">
        <f t="array" ref="J252:T252">IF(AND(QueryFlag="ON",NOT(ISNA(I252))),_xll.BondInfo(I252,$J$4:$T$4),"")</f>
        <v/>
      </c>
      <c r="K252" s="656" t="str">
        <v/>
      </c>
      <c r="L252" s="654" t="str">
        <v/>
      </c>
      <c r="M252" s="656" t="str">
        <v/>
      </c>
      <c r="N252" s="656" t="str">
        <v/>
      </c>
      <c r="O252" s="656" t="str">
        <v/>
      </c>
      <c r="P252" s="656" t="str">
        <v/>
      </c>
      <c r="Q252" s="657" t="str">
        <v/>
      </c>
      <c r="R252" s="658" t="str">
        <v/>
      </c>
      <c r="S252" s="655" t="str">
        <v/>
      </c>
      <c r="T252" s="658" t="str">
        <v/>
      </c>
      <c r="U252" s="665" t="str">
        <f>IF(AND(QueryFlag="ON",NOT(ISNA(I252))),_xll.BondOutstanding(I252),"")</f>
        <v/>
      </c>
    </row>
    <row r="253" spans="6:21">
      <c r="F253" s="908"/>
      <c r="G253" s="917" t="str">
        <f>IF(LEN($F253)&gt;1,_xll.BondInfo($F253,$G$4),"")</f>
        <v/>
      </c>
      <c r="I253" s="899"/>
      <c r="J253" s="655" t="str">
        <f t="array" ref="J253:T253">IF(AND(QueryFlag="ON",NOT(ISNA(I253))),_xll.BondInfo(I253,$J$4:$T$4),"")</f>
        <v/>
      </c>
      <c r="K253" s="656" t="str">
        <v/>
      </c>
      <c r="L253" s="654" t="str">
        <v/>
      </c>
      <c r="M253" s="656" t="str">
        <v/>
      </c>
      <c r="N253" s="656" t="str">
        <v/>
      </c>
      <c r="O253" s="656" t="str">
        <v/>
      </c>
      <c r="P253" s="656" t="str">
        <v/>
      </c>
      <c r="Q253" s="657" t="str">
        <v/>
      </c>
      <c r="R253" s="658" t="str">
        <v/>
      </c>
      <c r="S253" s="655" t="str">
        <v/>
      </c>
      <c r="T253" s="658" t="str">
        <v/>
      </c>
      <c r="U253" s="665" t="str">
        <f>IF(AND(QueryFlag="ON",NOT(ISNA(I253))),_xll.BondOutstanding(I253),"")</f>
        <v/>
      </c>
    </row>
    <row r="254" spans="6:21">
      <c r="F254" s="908"/>
      <c r="G254" s="917" t="str">
        <f>IF(LEN($F254)&gt;1,_xll.BondInfo($F254,$G$4),"")</f>
        <v/>
      </c>
      <c r="I254" s="899"/>
      <c r="J254" s="655" t="str">
        <f t="array" ref="J254:T254">IF(AND(QueryFlag="ON",NOT(ISNA(I254))),_xll.BondInfo(I254,$J$4:$T$4),"")</f>
        <v/>
      </c>
      <c r="K254" s="656" t="str">
        <v/>
      </c>
      <c r="L254" s="654" t="str">
        <v/>
      </c>
      <c r="M254" s="656" t="str">
        <v/>
      </c>
      <c r="N254" s="656" t="str">
        <v/>
      </c>
      <c r="O254" s="656" t="str">
        <v/>
      </c>
      <c r="P254" s="656" t="str">
        <v/>
      </c>
      <c r="Q254" s="657" t="str">
        <v/>
      </c>
      <c r="R254" s="658" t="str">
        <v/>
      </c>
      <c r="S254" s="655" t="str">
        <v/>
      </c>
      <c r="T254" s="658" t="str">
        <v/>
      </c>
      <c r="U254" s="665" t="str">
        <f>IF(AND(QueryFlag="ON",NOT(ISNA(I254))),_xll.BondOutstanding(I254),"")</f>
        <v/>
      </c>
    </row>
    <row r="255" spans="6:21">
      <c r="F255" s="908"/>
      <c r="G255" s="917" t="str">
        <f>IF(LEN($F255)&gt;1,_xll.BondInfo($F255,$G$4),"")</f>
        <v/>
      </c>
      <c r="I255" s="899"/>
      <c r="J255" s="655" t="str">
        <f t="array" ref="J255:T255">IF(AND(QueryFlag="ON",NOT(ISNA(I255))),_xll.BondInfo(I255,$J$4:$T$4),"")</f>
        <v/>
      </c>
      <c r="K255" s="656" t="str">
        <v/>
      </c>
      <c r="L255" s="654" t="str">
        <v/>
      </c>
      <c r="M255" s="656" t="str">
        <v/>
      </c>
      <c r="N255" s="656" t="str">
        <v/>
      </c>
      <c r="O255" s="656" t="str">
        <v/>
      </c>
      <c r="P255" s="656" t="str">
        <v/>
      </c>
      <c r="Q255" s="657" t="str">
        <v/>
      </c>
      <c r="R255" s="658" t="str">
        <v/>
      </c>
      <c r="S255" s="655" t="str">
        <v/>
      </c>
      <c r="T255" s="658" t="str">
        <v/>
      </c>
      <c r="U255" s="665" t="str">
        <f>IF(AND(QueryFlag="ON",NOT(ISNA(I255))),_xll.BondOutstanding(I255),"")</f>
        <v/>
      </c>
    </row>
    <row r="256" spans="6:21">
      <c r="F256" s="908"/>
      <c r="G256" s="917" t="str">
        <f>IF(LEN($F256)&gt;1,_xll.BondInfo($F256,$G$4),"")</f>
        <v/>
      </c>
      <c r="I256" s="899"/>
      <c r="J256" s="655" t="str">
        <f t="array" ref="J256:T256">IF(AND(QueryFlag="ON",NOT(ISNA(I256))),_xll.BondInfo(I256,$J$4:$T$4),"")</f>
        <v/>
      </c>
      <c r="K256" s="656" t="str">
        <v/>
      </c>
      <c r="L256" s="654" t="str">
        <v/>
      </c>
      <c r="M256" s="656" t="str">
        <v/>
      </c>
      <c r="N256" s="656" t="str">
        <v/>
      </c>
      <c r="O256" s="656" t="str">
        <v/>
      </c>
      <c r="P256" s="656" t="str">
        <v/>
      </c>
      <c r="Q256" s="657" t="str">
        <v/>
      </c>
      <c r="R256" s="658" t="str">
        <v/>
      </c>
      <c r="S256" s="655" t="str">
        <v/>
      </c>
      <c r="T256" s="658" t="str">
        <v/>
      </c>
      <c r="U256" s="665" t="str">
        <f>IF(AND(QueryFlag="ON",NOT(ISNA(I256))),_xll.BondOutstanding(I256),"")</f>
        <v/>
      </c>
    </row>
    <row r="257" spans="6:21">
      <c r="F257" s="908"/>
      <c r="G257" s="917" t="str">
        <f>IF(LEN($F257)&gt;1,_xll.BondInfo($F257,$G$4),"")</f>
        <v/>
      </c>
      <c r="I257" s="899"/>
      <c r="J257" s="655" t="str">
        <f t="array" ref="J257:T257">IF(AND(QueryFlag="ON",NOT(ISNA(I257))),_xll.BondInfo(I257,$J$4:$T$4),"")</f>
        <v/>
      </c>
      <c r="K257" s="656" t="str">
        <v/>
      </c>
      <c r="L257" s="654" t="str">
        <v/>
      </c>
      <c r="M257" s="656" t="str">
        <v/>
      </c>
      <c r="N257" s="656" t="str">
        <v/>
      </c>
      <c r="O257" s="656" t="str">
        <v/>
      </c>
      <c r="P257" s="656" t="str">
        <v/>
      </c>
      <c r="Q257" s="657" t="str">
        <v/>
      </c>
      <c r="R257" s="658" t="str">
        <v/>
      </c>
      <c r="S257" s="655" t="str">
        <v/>
      </c>
      <c r="T257" s="658" t="str">
        <v/>
      </c>
      <c r="U257" s="665" t="str">
        <f>IF(AND(QueryFlag="ON",NOT(ISNA(I257))),_xll.BondOutstanding(I257),"")</f>
        <v/>
      </c>
    </row>
    <row r="258" spans="6:21">
      <c r="F258" s="908"/>
      <c r="G258" s="917" t="str">
        <f>IF(LEN($F258)&gt;1,_xll.BondInfo($F258,$G$4),"")</f>
        <v/>
      </c>
      <c r="I258" s="899"/>
      <c r="J258" s="655" t="str">
        <f t="array" ref="J258:T258">IF(AND(QueryFlag="ON",NOT(ISNA(I258))),_xll.BondInfo(I258,$J$4:$T$4),"")</f>
        <v/>
      </c>
      <c r="K258" s="656" t="str">
        <v/>
      </c>
      <c r="L258" s="654" t="str">
        <v/>
      </c>
      <c r="M258" s="656" t="str">
        <v/>
      </c>
      <c r="N258" s="656" t="str">
        <v/>
      </c>
      <c r="O258" s="656" t="str">
        <v/>
      </c>
      <c r="P258" s="656" t="str">
        <v/>
      </c>
      <c r="Q258" s="657" t="str">
        <v/>
      </c>
      <c r="R258" s="658" t="str">
        <v/>
      </c>
      <c r="S258" s="655" t="str">
        <v/>
      </c>
      <c r="T258" s="658" t="str">
        <v/>
      </c>
      <c r="U258" s="665" t="str">
        <f>IF(AND(QueryFlag="ON",NOT(ISNA(I258))),_xll.BondOutstanding(I258),"")</f>
        <v/>
      </c>
    </row>
    <row r="259" spans="6:21">
      <c r="F259" s="908"/>
      <c r="G259" s="917" t="str">
        <f>IF(LEN($F259)&gt;1,_xll.BondInfo($F259,$G$4),"")</f>
        <v/>
      </c>
      <c r="I259" s="899"/>
      <c r="J259" s="655" t="str">
        <f t="array" ref="J259:T259">IF(AND(QueryFlag="ON",NOT(ISNA(I259))),_xll.BondInfo(I259,$J$4:$T$4),"")</f>
        <v/>
      </c>
      <c r="K259" s="656" t="str">
        <v/>
      </c>
      <c r="L259" s="654" t="str">
        <v/>
      </c>
      <c r="M259" s="656" t="str">
        <v/>
      </c>
      <c r="N259" s="656" t="str">
        <v/>
      </c>
      <c r="O259" s="656" t="str">
        <v/>
      </c>
      <c r="P259" s="656" t="str">
        <v/>
      </c>
      <c r="Q259" s="657" t="str">
        <v/>
      </c>
      <c r="R259" s="658" t="str">
        <v/>
      </c>
      <c r="S259" s="655" t="str">
        <v/>
      </c>
      <c r="T259" s="658" t="str">
        <v/>
      </c>
      <c r="U259" s="665" t="str">
        <f>IF(AND(QueryFlag="ON",NOT(ISNA(I259))),_xll.BondOutstanding(I259),"")</f>
        <v/>
      </c>
    </row>
    <row r="260" spans="6:21">
      <c r="F260" s="908"/>
      <c r="G260" s="917" t="str">
        <f>IF(LEN($F260)&gt;1,_xll.BondInfo($F260,$G$4),"")</f>
        <v/>
      </c>
      <c r="I260" s="899"/>
      <c r="J260" s="655" t="str">
        <f t="array" ref="J260:T260">IF(AND(QueryFlag="ON",NOT(ISNA(I260))),_xll.BondInfo(I260,$J$4:$T$4),"")</f>
        <v/>
      </c>
      <c r="K260" s="656" t="str">
        <v/>
      </c>
      <c r="L260" s="654" t="str">
        <v/>
      </c>
      <c r="M260" s="656" t="str">
        <v/>
      </c>
      <c r="N260" s="656" t="str">
        <v/>
      </c>
      <c r="O260" s="656" t="str">
        <v/>
      </c>
      <c r="P260" s="656" t="str">
        <v/>
      </c>
      <c r="Q260" s="657" t="str">
        <v/>
      </c>
      <c r="R260" s="658" t="str">
        <v/>
      </c>
      <c r="S260" s="655" t="str">
        <v/>
      </c>
      <c r="T260" s="658" t="str">
        <v/>
      </c>
      <c r="U260" s="665" t="str">
        <f>IF(AND(QueryFlag="ON",NOT(ISNA(I260))),_xll.BondOutstanding(I260),"")</f>
        <v/>
      </c>
    </row>
    <row r="261" spans="6:21">
      <c r="F261" s="908"/>
      <c r="G261" s="917" t="str">
        <f>IF(LEN($F261)&gt;1,_xll.BondInfo($F261,$G$4),"")</f>
        <v/>
      </c>
      <c r="I261" s="899"/>
      <c r="J261" s="655" t="str">
        <f t="array" ref="J261:T261">IF(AND(QueryFlag="ON",NOT(ISNA(I261))),_xll.BondInfo(I261,$J$4:$T$4),"")</f>
        <v/>
      </c>
      <c r="K261" s="656" t="str">
        <v/>
      </c>
      <c r="L261" s="654" t="str">
        <v/>
      </c>
      <c r="M261" s="656" t="str">
        <v/>
      </c>
      <c r="N261" s="656" t="str">
        <v/>
      </c>
      <c r="O261" s="656" t="str">
        <v/>
      </c>
      <c r="P261" s="656" t="str">
        <v/>
      </c>
      <c r="Q261" s="657" t="str">
        <v/>
      </c>
      <c r="R261" s="658" t="str">
        <v/>
      </c>
      <c r="S261" s="655" t="str">
        <v/>
      </c>
      <c r="T261" s="658" t="str">
        <v/>
      </c>
      <c r="U261" s="665" t="str">
        <f>IF(AND(QueryFlag="ON",NOT(ISNA(I261))),_xll.BondOutstanding(I261),"")</f>
        <v/>
      </c>
    </row>
    <row r="262" spans="6:21">
      <c r="F262" s="908"/>
      <c r="G262" s="917" t="str">
        <f>IF(LEN($F262)&gt;1,_xll.BondInfo($F262,$G$4),"")</f>
        <v/>
      </c>
      <c r="I262" s="899"/>
      <c r="J262" s="655" t="str">
        <f t="array" ref="J262:T262">IF(AND(QueryFlag="ON",NOT(ISNA(I262))),_xll.BondInfo(I262,$J$4:$T$4),"")</f>
        <v/>
      </c>
      <c r="K262" s="656" t="str">
        <v/>
      </c>
      <c r="L262" s="654" t="str">
        <v/>
      </c>
      <c r="M262" s="656" t="str">
        <v/>
      </c>
      <c r="N262" s="656" t="str">
        <v/>
      </c>
      <c r="O262" s="656" t="str">
        <v/>
      </c>
      <c r="P262" s="656" t="str">
        <v/>
      </c>
      <c r="Q262" s="657" t="str">
        <v/>
      </c>
      <c r="R262" s="658" t="str">
        <v/>
      </c>
      <c r="S262" s="655" t="str">
        <v/>
      </c>
      <c r="T262" s="658" t="str">
        <v/>
      </c>
      <c r="U262" s="665" t="str">
        <f>IF(AND(QueryFlag="ON",NOT(ISNA(I262))),_xll.BondOutstanding(I262),"")</f>
        <v/>
      </c>
    </row>
    <row r="263" spans="6:21">
      <c r="F263" s="908"/>
      <c r="G263" s="917" t="str">
        <f>IF(LEN($F263)&gt;1,_xll.BondInfo($F263,$G$4),"")</f>
        <v/>
      </c>
      <c r="I263" s="899"/>
      <c r="J263" s="655" t="str">
        <f t="array" ref="J263:T263">IF(AND(QueryFlag="ON",NOT(ISNA(I263))),_xll.BondInfo(I263,$J$4:$T$4),"")</f>
        <v/>
      </c>
      <c r="K263" s="656" t="str">
        <v/>
      </c>
      <c r="L263" s="654" t="str">
        <v/>
      </c>
      <c r="M263" s="656" t="str">
        <v/>
      </c>
      <c r="N263" s="656" t="str">
        <v/>
      </c>
      <c r="O263" s="656" t="str">
        <v/>
      </c>
      <c r="P263" s="656" t="str">
        <v/>
      </c>
      <c r="Q263" s="657" t="str">
        <v/>
      </c>
      <c r="R263" s="658" t="str">
        <v/>
      </c>
      <c r="S263" s="655" t="str">
        <v/>
      </c>
      <c r="T263" s="658" t="str">
        <v/>
      </c>
      <c r="U263" s="665" t="str">
        <f>IF(AND(QueryFlag="ON",NOT(ISNA(I263))),_xll.BondOutstanding(I263),"")</f>
        <v/>
      </c>
    </row>
    <row r="264" spans="6:21">
      <c r="F264" s="908"/>
      <c r="G264" s="917" t="str">
        <f>IF(LEN($F264)&gt;1,_xll.BondInfo($F264,$G$4),"")</f>
        <v/>
      </c>
      <c r="I264" s="899"/>
      <c r="J264" s="655" t="str">
        <f t="array" ref="J264:T264">IF(AND(QueryFlag="ON",NOT(ISNA(I264))),_xll.BondInfo(I264,$J$4:$T$4),"")</f>
        <v/>
      </c>
      <c r="K264" s="656" t="str">
        <v/>
      </c>
      <c r="L264" s="654" t="str">
        <v/>
      </c>
      <c r="M264" s="656" t="str">
        <v/>
      </c>
      <c r="N264" s="656" t="str">
        <v/>
      </c>
      <c r="O264" s="656" t="str">
        <v/>
      </c>
      <c r="P264" s="656" t="str">
        <v/>
      </c>
      <c r="Q264" s="657" t="str">
        <v/>
      </c>
      <c r="R264" s="658" t="str">
        <v/>
      </c>
      <c r="S264" s="655" t="str">
        <v/>
      </c>
      <c r="T264" s="658" t="str">
        <v/>
      </c>
      <c r="U264" s="665" t="str">
        <f>IF(AND(QueryFlag="ON",NOT(ISNA(I264))),_xll.BondOutstanding(I264),"")</f>
        <v/>
      </c>
    </row>
    <row r="265" spans="6:21">
      <c r="F265" s="908"/>
      <c r="G265" s="917" t="str">
        <f>IF(LEN($F265)&gt;1,_xll.BondInfo($F265,$G$4),"")</f>
        <v/>
      </c>
      <c r="I265" s="899"/>
      <c r="J265" s="655" t="str">
        <f t="array" ref="J265:T265">IF(AND(QueryFlag="ON",NOT(ISNA(I265))),_xll.BondInfo(I265,$J$4:$T$4),"")</f>
        <v/>
      </c>
      <c r="K265" s="656" t="str">
        <v/>
      </c>
      <c r="L265" s="654" t="str">
        <v/>
      </c>
      <c r="M265" s="656" t="str">
        <v/>
      </c>
      <c r="N265" s="656" t="str">
        <v/>
      </c>
      <c r="O265" s="656" t="str">
        <v/>
      </c>
      <c r="P265" s="656" t="str">
        <v/>
      </c>
      <c r="Q265" s="657" t="str">
        <v/>
      </c>
      <c r="R265" s="658" t="str">
        <v/>
      </c>
      <c r="S265" s="655" t="str">
        <v/>
      </c>
      <c r="T265" s="658" t="str">
        <v/>
      </c>
      <c r="U265" s="665" t="str">
        <f>IF(AND(QueryFlag="ON",NOT(ISNA(I265))),_xll.BondOutstanding(I265),"")</f>
        <v/>
      </c>
    </row>
    <row r="266" spans="6:21">
      <c r="F266" s="908"/>
      <c r="G266" s="917" t="str">
        <f>IF(LEN($F266)&gt;1,_xll.BondInfo($F266,$G$4),"")</f>
        <v/>
      </c>
      <c r="I266" s="899"/>
      <c r="J266" s="655" t="str">
        <f t="array" ref="J266:T266">IF(AND(QueryFlag="ON",NOT(ISNA(I266))),_xll.BondInfo(I266,$J$4:$T$4),"")</f>
        <v/>
      </c>
      <c r="K266" s="656" t="str">
        <v/>
      </c>
      <c r="L266" s="654" t="str">
        <v/>
      </c>
      <c r="M266" s="656" t="str">
        <v/>
      </c>
      <c r="N266" s="656" t="str">
        <v/>
      </c>
      <c r="O266" s="656" t="str">
        <v/>
      </c>
      <c r="P266" s="656" t="str">
        <v/>
      </c>
      <c r="Q266" s="657" t="str">
        <v/>
      </c>
      <c r="R266" s="658" t="str">
        <v/>
      </c>
      <c r="S266" s="655" t="str">
        <v/>
      </c>
      <c r="T266" s="658" t="str">
        <v/>
      </c>
      <c r="U266" s="665" t="str">
        <f>IF(AND(QueryFlag="ON",NOT(ISNA(I266))),_xll.BondOutstanding(I266),"")</f>
        <v/>
      </c>
    </row>
    <row r="267" spans="6:21">
      <c r="F267" s="908"/>
      <c r="G267" s="917" t="str">
        <f>IF(LEN($F267)&gt;1,_xll.BondInfo($F267,$G$4),"")</f>
        <v/>
      </c>
      <c r="I267" s="899"/>
      <c r="J267" s="655" t="str">
        <f t="array" ref="J267:T267">IF(AND(QueryFlag="ON",NOT(ISNA(I267))),_xll.BondInfo(I267,$J$4:$T$4),"")</f>
        <v/>
      </c>
      <c r="K267" s="656" t="str">
        <v/>
      </c>
      <c r="L267" s="654" t="str">
        <v/>
      </c>
      <c r="M267" s="656" t="str">
        <v/>
      </c>
      <c r="N267" s="656" t="str">
        <v/>
      </c>
      <c r="O267" s="656" t="str">
        <v/>
      </c>
      <c r="P267" s="656" t="str">
        <v/>
      </c>
      <c r="Q267" s="657" t="str">
        <v/>
      </c>
      <c r="R267" s="658" t="str">
        <v/>
      </c>
      <c r="S267" s="655" t="str">
        <v/>
      </c>
      <c r="T267" s="658" t="str">
        <v/>
      </c>
      <c r="U267" s="665" t="str">
        <f>IF(AND(QueryFlag="ON",NOT(ISNA(I267))),_xll.BondOutstanding(I267),"")</f>
        <v/>
      </c>
    </row>
    <row r="268" spans="6:21">
      <c r="F268" s="908"/>
      <c r="G268" s="917" t="str">
        <f>IF(LEN($F268)&gt;1,_xll.BondInfo($F268,$G$4),"")</f>
        <v/>
      </c>
      <c r="I268" s="899"/>
      <c r="J268" s="655" t="str">
        <f t="array" ref="J268:T268">IF(AND(QueryFlag="ON",NOT(ISNA(I268))),_xll.BondInfo(I268,$J$4:$T$4),"")</f>
        <v/>
      </c>
      <c r="K268" s="656" t="str">
        <v/>
      </c>
      <c r="L268" s="654" t="str">
        <v/>
      </c>
      <c r="M268" s="656" t="str">
        <v/>
      </c>
      <c r="N268" s="656" t="str">
        <v/>
      </c>
      <c r="O268" s="656" t="str">
        <v/>
      </c>
      <c r="P268" s="656" t="str">
        <v/>
      </c>
      <c r="Q268" s="657" t="str">
        <v/>
      </c>
      <c r="R268" s="658" t="str">
        <v/>
      </c>
      <c r="S268" s="655" t="str">
        <v/>
      </c>
      <c r="T268" s="658" t="str">
        <v/>
      </c>
      <c r="U268" s="665" t="str">
        <f>IF(AND(QueryFlag="ON",NOT(ISNA(I268))),_xll.BondOutstanding(I268),"")</f>
        <v/>
      </c>
    </row>
    <row r="269" spans="6:21">
      <c r="F269" s="908"/>
      <c r="G269" s="917" t="str">
        <f>IF(LEN($F269)&gt;1,_xll.BondInfo($F269,$G$4),"")</f>
        <v/>
      </c>
      <c r="I269" s="899"/>
      <c r="J269" s="655" t="str">
        <f t="array" ref="J269:T269">IF(AND(QueryFlag="ON",NOT(ISNA(I269))),_xll.BondInfo(I269,$J$4:$T$4),"")</f>
        <v/>
      </c>
      <c r="K269" s="656" t="str">
        <v/>
      </c>
      <c r="L269" s="654" t="str">
        <v/>
      </c>
      <c r="M269" s="656" t="str">
        <v/>
      </c>
      <c r="N269" s="656" t="str">
        <v/>
      </c>
      <c r="O269" s="656" t="str">
        <v/>
      </c>
      <c r="P269" s="656" t="str">
        <v/>
      </c>
      <c r="Q269" s="657" t="str">
        <v/>
      </c>
      <c r="R269" s="658" t="str">
        <v/>
      </c>
      <c r="S269" s="655" t="str">
        <v/>
      </c>
      <c r="T269" s="658" t="str">
        <v/>
      </c>
      <c r="U269" s="665" t="str">
        <f>IF(AND(QueryFlag="ON",NOT(ISNA(I269))),_xll.BondOutstanding(I269),"")</f>
        <v/>
      </c>
    </row>
    <row r="270" spans="6:21">
      <c r="F270" s="908"/>
      <c r="G270" s="917" t="str">
        <f>IF(LEN($F270)&gt;1,_xll.BondInfo($F270,$G$4),"")</f>
        <v/>
      </c>
      <c r="I270" s="899"/>
      <c r="J270" s="655" t="str">
        <f t="array" ref="J270:T270">IF(AND(QueryFlag="ON",NOT(ISNA(I270))),_xll.BondInfo(I270,$J$4:$T$4),"")</f>
        <v/>
      </c>
      <c r="K270" s="656" t="str">
        <v/>
      </c>
      <c r="L270" s="654" t="str">
        <v/>
      </c>
      <c r="M270" s="656" t="str">
        <v/>
      </c>
      <c r="N270" s="656" t="str">
        <v/>
      </c>
      <c r="O270" s="656" t="str">
        <v/>
      </c>
      <c r="P270" s="656" t="str">
        <v/>
      </c>
      <c r="Q270" s="657" t="str">
        <v/>
      </c>
      <c r="R270" s="658" t="str">
        <v/>
      </c>
      <c r="S270" s="655" t="str">
        <v/>
      </c>
      <c r="T270" s="658" t="str">
        <v/>
      </c>
      <c r="U270" s="665" t="str">
        <f>IF(AND(QueryFlag="ON",NOT(ISNA(I270))),_xll.BondOutstanding(I270),"")</f>
        <v/>
      </c>
    </row>
    <row r="271" spans="6:21">
      <c r="F271" s="908"/>
      <c r="G271" s="917" t="str">
        <f>IF(LEN($F271)&gt;1,_xll.BondInfo($F271,$G$4),"")</f>
        <v/>
      </c>
      <c r="I271" s="899"/>
      <c r="J271" s="655" t="str">
        <f t="array" ref="J271:T271">IF(AND(QueryFlag="ON",NOT(ISNA(I271))),_xll.BondInfo(I271,$J$4:$T$4),"")</f>
        <v/>
      </c>
      <c r="K271" s="656" t="str">
        <v/>
      </c>
      <c r="L271" s="654" t="str">
        <v/>
      </c>
      <c r="M271" s="656" t="str">
        <v/>
      </c>
      <c r="N271" s="656" t="str">
        <v/>
      </c>
      <c r="O271" s="656" t="str">
        <v/>
      </c>
      <c r="P271" s="656" t="str">
        <v/>
      </c>
      <c r="Q271" s="657" t="str">
        <v/>
      </c>
      <c r="R271" s="658" t="str">
        <v/>
      </c>
      <c r="S271" s="655" t="str">
        <v/>
      </c>
      <c r="T271" s="658" t="str">
        <v/>
      </c>
      <c r="U271" s="665" t="str">
        <f>IF(AND(QueryFlag="ON",NOT(ISNA(I271))),_xll.BondOutstanding(I271),"")</f>
        <v/>
      </c>
    </row>
    <row r="272" spans="6:21">
      <c r="F272" s="908"/>
      <c r="G272" s="917" t="str">
        <f>IF(LEN($F272)&gt;1,_xll.BondInfo($F272,$G$4),"")</f>
        <v/>
      </c>
      <c r="I272" s="899"/>
      <c r="J272" s="655" t="str">
        <f t="array" ref="J272:T272">IF(AND(QueryFlag="ON",NOT(ISNA(I272))),_xll.BondInfo(I272,$J$4:$T$4),"")</f>
        <v/>
      </c>
      <c r="K272" s="656" t="str">
        <v/>
      </c>
      <c r="L272" s="654" t="str">
        <v/>
      </c>
      <c r="M272" s="656" t="str">
        <v/>
      </c>
      <c r="N272" s="656" t="str">
        <v/>
      </c>
      <c r="O272" s="656" t="str">
        <v/>
      </c>
      <c r="P272" s="656" t="str">
        <v/>
      </c>
      <c r="Q272" s="657" t="str">
        <v/>
      </c>
      <c r="R272" s="658" t="str">
        <v/>
      </c>
      <c r="S272" s="655" t="str">
        <v/>
      </c>
      <c r="T272" s="658" t="str">
        <v/>
      </c>
      <c r="U272" s="665" t="str">
        <f>IF(AND(QueryFlag="ON",NOT(ISNA(I272))),_xll.BondOutstanding(I272),"")</f>
        <v/>
      </c>
    </row>
    <row r="273" spans="6:21">
      <c r="F273" s="908"/>
      <c r="G273" s="917" t="str">
        <f>IF(LEN($F273)&gt;1,_xll.BondInfo($F273,$G$4),"")</f>
        <v/>
      </c>
      <c r="I273" s="899"/>
      <c r="J273" s="655" t="str">
        <f t="array" ref="J273:T273">IF(AND(QueryFlag="ON",NOT(ISNA(I273))),_xll.BondInfo(I273,$J$4:$T$4),"")</f>
        <v/>
      </c>
      <c r="K273" s="656" t="str">
        <v/>
      </c>
      <c r="L273" s="654" t="str">
        <v/>
      </c>
      <c r="M273" s="656" t="str">
        <v/>
      </c>
      <c r="N273" s="656" t="str">
        <v/>
      </c>
      <c r="O273" s="656" t="str">
        <v/>
      </c>
      <c r="P273" s="656" t="str">
        <v/>
      </c>
      <c r="Q273" s="657" t="str">
        <v/>
      </c>
      <c r="R273" s="658" t="str">
        <v/>
      </c>
      <c r="S273" s="655" t="str">
        <v/>
      </c>
      <c r="T273" s="658" t="str">
        <v/>
      </c>
      <c r="U273" s="665" t="str">
        <f>IF(AND(QueryFlag="ON",NOT(ISNA(I273))),_xll.BondOutstanding(I273),"")</f>
        <v/>
      </c>
    </row>
    <row r="274" spans="6:21">
      <c r="F274" s="908"/>
      <c r="G274" s="917" t="str">
        <f>IF(LEN($F274)&gt;1,_xll.BondInfo($F274,$G$4),"")</f>
        <v/>
      </c>
      <c r="I274" s="899"/>
      <c r="J274" s="655" t="str">
        <f t="array" ref="J274:T274">IF(AND(QueryFlag="ON",NOT(ISNA(I274))),_xll.BondInfo(I274,$J$4:$T$4),"")</f>
        <v/>
      </c>
      <c r="K274" s="656" t="str">
        <v/>
      </c>
      <c r="L274" s="654" t="str">
        <v/>
      </c>
      <c r="M274" s="656" t="str">
        <v/>
      </c>
      <c r="N274" s="656" t="str">
        <v/>
      </c>
      <c r="O274" s="656" t="str">
        <v/>
      </c>
      <c r="P274" s="656" t="str">
        <v/>
      </c>
      <c r="Q274" s="657" t="str">
        <v/>
      </c>
      <c r="R274" s="658" t="str">
        <v/>
      </c>
      <c r="S274" s="655" t="str">
        <v/>
      </c>
      <c r="T274" s="658" t="str">
        <v/>
      </c>
      <c r="U274" s="665" t="str">
        <f>IF(AND(QueryFlag="ON",NOT(ISNA(I274))),_xll.BondOutstanding(I274),"")</f>
        <v/>
      </c>
    </row>
    <row r="275" spans="6:21">
      <c r="F275" s="908"/>
      <c r="G275" s="917" t="str">
        <f>IF(LEN($F275)&gt;1,_xll.BondInfo($F275,$G$4),"")</f>
        <v/>
      </c>
      <c r="I275" s="899"/>
      <c r="J275" s="655" t="str">
        <f t="array" ref="J275:T275">IF(AND(QueryFlag="ON",NOT(ISNA(I275))),_xll.BondInfo(I275,$J$4:$T$4),"")</f>
        <v/>
      </c>
      <c r="K275" s="656" t="str">
        <v/>
      </c>
      <c r="L275" s="654" t="str">
        <v/>
      </c>
      <c r="M275" s="656" t="str">
        <v/>
      </c>
      <c r="N275" s="656" t="str">
        <v/>
      </c>
      <c r="O275" s="656" t="str">
        <v/>
      </c>
      <c r="P275" s="656" t="str">
        <v/>
      </c>
      <c r="Q275" s="657" t="str">
        <v/>
      </c>
      <c r="R275" s="658" t="str">
        <v/>
      </c>
      <c r="S275" s="655" t="str">
        <v/>
      </c>
      <c r="T275" s="658" t="str">
        <v/>
      </c>
      <c r="U275" s="665" t="str">
        <f>IF(AND(QueryFlag="ON",NOT(ISNA(I275))),_xll.BondOutstanding(I275),"")</f>
        <v/>
      </c>
    </row>
    <row r="276" spans="6:21">
      <c r="F276" s="908"/>
      <c r="G276" s="917" t="str">
        <f>IF(LEN($F276)&gt;1,_xll.BondInfo($F276,$G$4),"")</f>
        <v/>
      </c>
      <c r="I276" s="899"/>
      <c r="J276" s="655" t="str">
        <f t="array" ref="J276:T276">IF(AND(QueryFlag="ON",NOT(ISNA(I276))),_xll.BondInfo(I276,$J$4:$T$4),"")</f>
        <v/>
      </c>
      <c r="K276" s="656" t="str">
        <v/>
      </c>
      <c r="L276" s="654" t="str">
        <v/>
      </c>
      <c r="M276" s="656" t="str">
        <v/>
      </c>
      <c r="N276" s="656" t="str">
        <v/>
      </c>
      <c r="O276" s="656" t="str">
        <v/>
      </c>
      <c r="P276" s="656" t="str">
        <v/>
      </c>
      <c r="Q276" s="657" t="str">
        <v/>
      </c>
      <c r="R276" s="658" t="str">
        <v/>
      </c>
      <c r="S276" s="655" t="str">
        <v/>
      </c>
      <c r="T276" s="658" t="str">
        <v/>
      </c>
      <c r="U276" s="665" t="str">
        <f>IF(AND(QueryFlag="ON",NOT(ISNA(I276))),_xll.BondOutstanding(I276),"")</f>
        <v/>
      </c>
    </row>
    <row r="277" spans="6:21">
      <c r="F277" s="908"/>
      <c r="G277" s="917" t="str">
        <f>IF(LEN($F277)&gt;1,_xll.BondInfo($F277,$G$4),"")</f>
        <v/>
      </c>
      <c r="I277" s="899"/>
      <c r="J277" s="655" t="str">
        <f t="array" ref="J277:T277">IF(AND(QueryFlag="ON",NOT(ISNA(I277))),_xll.BondInfo(I277,$J$4:$T$4),"")</f>
        <v/>
      </c>
      <c r="K277" s="656" t="str">
        <v/>
      </c>
      <c r="L277" s="654" t="str">
        <v/>
      </c>
      <c r="M277" s="656" t="str">
        <v/>
      </c>
      <c r="N277" s="656" t="str">
        <v/>
      </c>
      <c r="O277" s="656" t="str">
        <v/>
      </c>
      <c r="P277" s="656" t="str">
        <v/>
      </c>
      <c r="Q277" s="657" t="str">
        <v/>
      </c>
      <c r="R277" s="658" t="str">
        <v/>
      </c>
      <c r="S277" s="655" t="str">
        <v/>
      </c>
      <c r="T277" s="658" t="str">
        <v/>
      </c>
      <c r="U277" s="665" t="str">
        <f>IF(AND(QueryFlag="ON",NOT(ISNA(I277))),_xll.BondOutstanding(I277),"")</f>
        <v/>
      </c>
    </row>
    <row r="278" spans="6:21">
      <c r="F278" s="908"/>
      <c r="G278" s="917" t="str">
        <f>IF(LEN($F278)&gt;1,_xll.BondInfo($F278,$G$4),"")</f>
        <v/>
      </c>
      <c r="I278" s="899"/>
      <c r="J278" s="655" t="str">
        <f t="array" ref="J278:T278">IF(AND(QueryFlag="ON",NOT(ISNA(I278))),_xll.BondInfo(I278,$J$4:$T$4),"")</f>
        <v/>
      </c>
      <c r="K278" s="656" t="str">
        <v/>
      </c>
      <c r="L278" s="654" t="str">
        <v/>
      </c>
      <c r="M278" s="656" t="str">
        <v/>
      </c>
      <c r="N278" s="656" t="str">
        <v/>
      </c>
      <c r="O278" s="656" t="str">
        <v/>
      </c>
      <c r="P278" s="656" t="str">
        <v/>
      </c>
      <c r="Q278" s="657" t="str">
        <v/>
      </c>
      <c r="R278" s="658" t="str">
        <v/>
      </c>
      <c r="S278" s="655" t="str">
        <v/>
      </c>
      <c r="T278" s="658" t="str">
        <v/>
      </c>
      <c r="U278" s="665" t="str">
        <f>IF(AND(QueryFlag="ON",NOT(ISNA(I278))),_xll.BondOutstanding(I278),"")</f>
        <v/>
      </c>
    </row>
    <row r="279" spans="6:21">
      <c r="F279" s="908"/>
      <c r="G279" s="917" t="str">
        <f>IF(LEN($F279)&gt;1,_xll.BondInfo($F279,$G$4),"")</f>
        <v/>
      </c>
      <c r="I279" s="899"/>
      <c r="J279" s="655" t="str">
        <f t="array" ref="J279:T279">IF(AND(QueryFlag="ON",NOT(ISNA(I279))),_xll.BondInfo(I279,$J$4:$T$4),"")</f>
        <v/>
      </c>
      <c r="K279" s="656" t="str">
        <v/>
      </c>
      <c r="L279" s="654" t="str">
        <v/>
      </c>
      <c r="M279" s="656" t="str">
        <v/>
      </c>
      <c r="N279" s="656" t="str">
        <v/>
      </c>
      <c r="O279" s="656" t="str">
        <v/>
      </c>
      <c r="P279" s="656" t="str">
        <v/>
      </c>
      <c r="Q279" s="657" t="str">
        <v/>
      </c>
      <c r="R279" s="658" t="str">
        <v/>
      </c>
      <c r="S279" s="655" t="str">
        <v/>
      </c>
      <c r="T279" s="658" t="str">
        <v/>
      </c>
      <c r="U279" s="665" t="str">
        <f>IF(AND(QueryFlag="ON",NOT(ISNA(I279))),_xll.BondOutstanding(I279),"")</f>
        <v/>
      </c>
    </row>
    <row r="280" spans="6:21">
      <c r="F280" s="908"/>
      <c r="G280" s="917" t="str">
        <f>IF(LEN($F280)&gt;1,_xll.BondInfo($F280,$G$4),"")</f>
        <v/>
      </c>
      <c r="I280" s="899"/>
      <c r="J280" s="655" t="str">
        <f t="array" ref="J280:T280">IF(AND(QueryFlag="ON",NOT(ISNA(I280))),_xll.BondInfo(I280,$J$4:$T$4),"")</f>
        <v/>
      </c>
      <c r="K280" s="656" t="str">
        <v/>
      </c>
      <c r="L280" s="654" t="str">
        <v/>
      </c>
      <c r="M280" s="656" t="str">
        <v/>
      </c>
      <c r="N280" s="656" t="str">
        <v/>
      </c>
      <c r="O280" s="656" t="str">
        <v/>
      </c>
      <c r="P280" s="656" t="str">
        <v/>
      </c>
      <c r="Q280" s="657" t="str">
        <v/>
      </c>
      <c r="R280" s="658" t="str">
        <v/>
      </c>
      <c r="S280" s="655" t="str">
        <v/>
      </c>
      <c r="T280" s="658" t="str">
        <v/>
      </c>
      <c r="U280" s="665" t="str">
        <f>IF(AND(QueryFlag="ON",NOT(ISNA(I280))),_xll.BondOutstanding(I280),"")</f>
        <v/>
      </c>
    </row>
    <row r="281" spans="6:21">
      <c r="F281" s="908"/>
      <c r="G281" s="917" t="str">
        <f>IF(LEN($F281)&gt;1,_xll.BondInfo($F281,$G$4),"")</f>
        <v/>
      </c>
      <c r="I281" s="899"/>
      <c r="J281" s="655" t="str">
        <f t="array" ref="J281:T281">IF(AND(QueryFlag="ON",NOT(ISNA(I281))),_xll.BondInfo(I281,$J$4:$T$4),"")</f>
        <v/>
      </c>
      <c r="K281" s="656" t="str">
        <v/>
      </c>
      <c r="L281" s="654" t="str">
        <v/>
      </c>
      <c r="M281" s="656" t="str">
        <v/>
      </c>
      <c r="N281" s="656" t="str">
        <v/>
      </c>
      <c r="O281" s="656" t="str">
        <v/>
      </c>
      <c r="P281" s="656" t="str">
        <v/>
      </c>
      <c r="Q281" s="657" t="str">
        <v/>
      </c>
      <c r="R281" s="658" t="str">
        <v/>
      </c>
      <c r="S281" s="655" t="str">
        <v/>
      </c>
      <c r="T281" s="658" t="str">
        <v/>
      </c>
      <c r="U281" s="665" t="str">
        <f>IF(AND(QueryFlag="ON",NOT(ISNA(I281))),_xll.BondOutstanding(I281),"")</f>
        <v/>
      </c>
    </row>
    <row r="282" spans="6:21">
      <c r="F282" s="908"/>
      <c r="G282" s="917" t="str">
        <f>IF(LEN($F282)&gt;1,_xll.BondInfo($F282,$G$4),"")</f>
        <v/>
      </c>
      <c r="I282" s="899"/>
      <c r="J282" s="655" t="str">
        <f t="array" ref="J282:T282">IF(AND(QueryFlag="ON",NOT(ISNA(I282))),_xll.BondInfo(I282,$J$4:$T$4),"")</f>
        <v/>
      </c>
      <c r="K282" s="656" t="str">
        <v/>
      </c>
      <c r="L282" s="654" t="str">
        <v/>
      </c>
      <c r="M282" s="656" t="str">
        <v/>
      </c>
      <c r="N282" s="656" t="str">
        <v/>
      </c>
      <c r="O282" s="656" t="str">
        <v/>
      </c>
      <c r="P282" s="656" t="str">
        <v/>
      </c>
      <c r="Q282" s="657" t="str">
        <v/>
      </c>
      <c r="R282" s="658" t="str">
        <v/>
      </c>
      <c r="S282" s="655" t="str">
        <v/>
      </c>
      <c r="T282" s="658" t="str">
        <v/>
      </c>
      <c r="U282" s="665" t="str">
        <f>IF(AND(QueryFlag="ON",NOT(ISNA(I282))),_xll.BondOutstanding(I282),"")</f>
        <v/>
      </c>
    </row>
    <row r="283" spans="6:21">
      <c r="F283" s="908"/>
      <c r="G283" s="917" t="str">
        <f>IF(LEN($F283)&gt;1,_xll.BondInfo($F283,$G$4),"")</f>
        <v/>
      </c>
      <c r="I283" s="899"/>
      <c r="J283" s="655" t="str">
        <f t="array" ref="J283:T283">IF(AND(QueryFlag="ON",NOT(ISNA(I283))),_xll.BondInfo(I283,$J$4:$T$4),"")</f>
        <v/>
      </c>
      <c r="K283" s="656" t="str">
        <v/>
      </c>
      <c r="L283" s="654" t="str">
        <v/>
      </c>
      <c r="M283" s="656" t="str">
        <v/>
      </c>
      <c r="N283" s="656" t="str">
        <v/>
      </c>
      <c r="O283" s="656" t="str">
        <v/>
      </c>
      <c r="P283" s="656" t="str">
        <v/>
      </c>
      <c r="Q283" s="657" t="str">
        <v/>
      </c>
      <c r="R283" s="658" t="str">
        <v/>
      </c>
      <c r="S283" s="655" t="str">
        <v/>
      </c>
      <c r="T283" s="658" t="str">
        <v/>
      </c>
      <c r="U283" s="665" t="str">
        <f>IF(AND(QueryFlag="ON",NOT(ISNA(I283))),_xll.BondOutstanding(I283),"")</f>
        <v/>
      </c>
    </row>
    <row r="284" spans="6:21">
      <c r="F284" s="908"/>
      <c r="G284" s="917" t="str">
        <f>IF(LEN($F284)&gt;1,_xll.BondInfo($F284,$G$4),"")</f>
        <v/>
      </c>
      <c r="I284" s="899"/>
      <c r="J284" s="655" t="str">
        <f t="array" ref="J284:T284">IF(AND(QueryFlag="ON",NOT(ISNA(I284))),_xll.BondInfo(I284,$J$4:$T$4),"")</f>
        <v/>
      </c>
      <c r="K284" s="656" t="str">
        <v/>
      </c>
      <c r="L284" s="654" t="str">
        <v/>
      </c>
      <c r="M284" s="656" t="str">
        <v/>
      </c>
      <c r="N284" s="656" t="str">
        <v/>
      </c>
      <c r="O284" s="656" t="str">
        <v/>
      </c>
      <c r="P284" s="656" t="str">
        <v/>
      </c>
      <c r="Q284" s="657" t="str">
        <v/>
      </c>
      <c r="R284" s="658" t="str">
        <v/>
      </c>
      <c r="S284" s="655" t="str">
        <v/>
      </c>
      <c r="T284" s="658" t="str">
        <v/>
      </c>
      <c r="U284" s="665" t="str">
        <f>IF(AND(QueryFlag="ON",NOT(ISNA(I284))),_xll.BondOutstanding(I284),"")</f>
        <v/>
      </c>
    </row>
    <row r="285" spans="6:21">
      <c r="F285" s="908"/>
      <c r="G285" s="917" t="str">
        <f>IF(LEN($F285)&gt;1,_xll.BondInfo($F285,$G$4),"")</f>
        <v/>
      </c>
      <c r="I285" s="899"/>
      <c r="J285" s="655" t="str">
        <f t="array" ref="J285:T285">IF(AND(QueryFlag="ON",NOT(ISNA(I285))),_xll.BondInfo(I285,$J$4:$T$4),"")</f>
        <v/>
      </c>
      <c r="K285" s="656" t="str">
        <v/>
      </c>
      <c r="L285" s="654" t="str">
        <v/>
      </c>
      <c r="M285" s="656" t="str">
        <v/>
      </c>
      <c r="N285" s="656" t="str">
        <v/>
      </c>
      <c r="O285" s="656" t="str">
        <v/>
      </c>
      <c r="P285" s="656" t="str">
        <v/>
      </c>
      <c r="Q285" s="657" t="str">
        <v/>
      </c>
      <c r="R285" s="658" t="str">
        <v/>
      </c>
      <c r="S285" s="655" t="str">
        <v/>
      </c>
      <c r="T285" s="658" t="str">
        <v/>
      </c>
      <c r="U285" s="665" t="str">
        <f>IF(AND(QueryFlag="ON",NOT(ISNA(I285))),_xll.BondOutstanding(I285),"")</f>
        <v/>
      </c>
    </row>
    <row r="286" spans="6:21">
      <c r="F286" s="908"/>
      <c r="G286" s="917" t="str">
        <f>IF(LEN($F286)&gt;1,_xll.BondInfo($F286,$G$4),"")</f>
        <v/>
      </c>
      <c r="I286" s="899"/>
      <c r="J286" s="655" t="str">
        <f t="array" ref="J286:T286">IF(AND(QueryFlag="ON",NOT(ISNA(I286))),_xll.BondInfo(I286,$J$4:$T$4),"")</f>
        <v/>
      </c>
      <c r="K286" s="656" t="str">
        <v/>
      </c>
      <c r="L286" s="654" t="str">
        <v/>
      </c>
      <c r="M286" s="656" t="str">
        <v/>
      </c>
      <c r="N286" s="656" t="str">
        <v/>
      </c>
      <c r="O286" s="656" t="str">
        <v/>
      </c>
      <c r="P286" s="656" t="str">
        <v/>
      </c>
      <c r="Q286" s="657" t="str">
        <v/>
      </c>
      <c r="R286" s="658" t="str">
        <v/>
      </c>
      <c r="S286" s="655" t="str">
        <v/>
      </c>
      <c r="T286" s="658" t="str">
        <v/>
      </c>
      <c r="U286" s="665" t="str">
        <f>IF(AND(QueryFlag="ON",NOT(ISNA(I286))),_xll.BondOutstanding(I286),"")</f>
        <v/>
      </c>
    </row>
    <row r="287" spans="6:21">
      <c r="F287" s="908"/>
      <c r="G287" s="917" t="str">
        <f>IF(LEN($F287)&gt;1,_xll.BondInfo($F287,$G$4),"")</f>
        <v/>
      </c>
      <c r="I287" s="899"/>
      <c r="J287" s="655" t="str">
        <f t="array" ref="J287:T287">IF(AND(QueryFlag="ON",NOT(ISNA(I287))),_xll.BondInfo(I287,$J$4:$T$4),"")</f>
        <v/>
      </c>
      <c r="K287" s="656" t="str">
        <v/>
      </c>
      <c r="L287" s="654" t="str">
        <v/>
      </c>
      <c r="M287" s="656" t="str">
        <v/>
      </c>
      <c r="N287" s="656" t="str">
        <v/>
      </c>
      <c r="O287" s="656" t="str">
        <v/>
      </c>
      <c r="P287" s="656" t="str">
        <v/>
      </c>
      <c r="Q287" s="657" t="str">
        <v/>
      </c>
      <c r="R287" s="658" t="str">
        <v/>
      </c>
      <c r="S287" s="655" t="str">
        <v/>
      </c>
      <c r="T287" s="658" t="str">
        <v/>
      </c>
      <c r="U287" s="665" t="str">
        <f>IF(AND(QueryFlag="ON",NOT(ISNA(I287))),_xll.BondOutstanding(I287),"")</f>
        <v/>
      </c>
    </row>
    <row r="288" spans="6:21">
      <c r="F288" s="908"/>
      <c r="G288" s="917" t="str">
        <f>IF(LEN($F288)&gt;1,_xll.BondInfo($F288,$G$4),"")</f>
        <v/>
      </c>
      <c r="I288" s="899"/>
      <c r="J288" s="655" t="str">
        <f t="array" ref="J288:T288">IF(AND(QueryFlag="ON",NOT(ISNA(I288))),_xll.BondInfo(I288,$J$4:$T$4),"")</f>
        <v/>
      </c>
      <c r="K288" s="656" t="str">
        <v/>
      </c>
      <c r="L288" s="654" t="str">
        <v/>
      </c>
      <c r="M288" s="656" t="str">
        <v/>
      </c>
      <c r="N288" s="656" t="str">
        <v/>
      </c>
      <c r="O288" s="656" t="str">
        <v/>
      </c>
      <c r="P288" s="656" t="str">
        <v/>
      </c>
      <c r="Q288" s="657" t="str">
        <v/>
      </c>
      <c r="R288" s="658" t="str">
        <v/>
      </c>
      <c r="S288" s="655" t="str">
        <v/>
      </c>
      <c r="T288" s="658" t="str">
        <v/>
      </c>
      <c r="U288" s="665" t="str">
        <f>IF(AND(QueryFlag="ON",NOT(ISNA(I288))),_xll.BondOutstanding(I288),"")</f>
        <v/>
      </c>
    </row>
    <row r="289" spans="6:21">
      <c r="F289" s="908"/>
      <c r="G289" s="917" t="str">
        <f>IF(LEN($F289)&gt;1,_xll.BondInfo($F289,$G$4),"")</f>
        <v/>
      </c>
      <c r="I289" s="899"/>
      <c r="J289" s="655" t="str">
        <f t="array" ref="J289:T289">IF(AND(QueryFlag="ON",NOT(ISNA(I289))),_xll.BondInfo(I289,$J$4:$T$4),"")</f>
        <v/>
      </c>
      <c r="K289" s="656" t="str">
        <v/>
      </c>
      <c r="L289" s="654" t="str">
        <v/>
      </c>
      <c r="M289" s="656" t="str">
        <v/>
      </c>
      <c r="N289" s="656" t="str">
        <v/>
      </c>
      <c r="O289" s="656" t="str">
        <v/>
      </c>
      <c r="P289" s="656" t="str">
        <v/>
      </c>
      <c r="Q289" s="657" t="str">
        <v/>
      </c>
      <c r="R289" s="658" t="str">
        <v/>
      </c>
      <c r="S289" s="655" t="str">
        <v/>
      </c>
      <c r="T289" s="658" t="str">
        <v/>
      </c>
      <c r="U289" s="665" t="str">
        <f>IF(AND(QueryFlag="ON",NOT(ISNA(I289))),_xll.BondOutstanding(I289),"")</f>
        <v/>
      </c>
    </row>
    <row r="290" spans="6:21">
      <c r="F290" s="908"/>
      <c r="G290" s="917" t="str">
        <f>IF(LEN($F290)&gt;1,_xll.BondInfo($F290,$G$4),"")</f>
        <v/>
      </c>
      <c r="I290" s="899"/>
      <c r="J290" s="655" t="str">
        <f t="array" ref="J290:T290">IF(AND(QueryFlag="ON",NOT(ISNA(I290))),_xll.BondInfo(I290,$J$4:$T$4),"")</f>
        <v/>
      </c>
      <c r="K290" s="656" t="str">
        <v/>
      </c>
      <c r="L290" s="654" t="str">
        <v/>
      </c>
      <c r="M290" s="656" t="str">
        <v/>
      </c>
      <c r="N290" s="656" t="str">
        <v/>
      </c>
      <c r="O290" s="656" t="str">
        <v/>
      </c>
      <c r="P290" s="656" t="str">
        <v/>
      </c>
      <c r="Q290" s="657" t="str">
        <v/>
      </c>
      <c r="R290" s="658" t="str">
        <v/>
      </c>
      <c r="S290" s="655" t="str">
        <v/>
      </c>
      <c r="T290" s="658" t="str">
        <v/>
      </c>
      <c r="U290" s="665" t="str">
        <f>IF(AND(QueryFlag="ON",NOT(ISNA(I290))),_xll.BondOutstanding(I290),"")</f>
        <v/>
      </c>
    </row>
    <row r="291" spans="6:21">
      <c r="F291" s="908"/>
      <c r="G291" s="917" t="str">
        <f>IF(LEN($F291)&gt;1,_xll.BondInfo($F291,$G$4),"")</f>
        <v/>
      </c>
      <c r="I291" s="899"/>
      <c r="J291" s="655" t="str">
        <f t="array" ref="J291:T291">IF(AND(QueryFlag="ON",NOT(ISNA(I291))),_xll.BondInfo(I291,$J$4:$T$4),"")</f>
        <v/>
      </c>
      <c r="K291" s="656" t="str">
        <v/>
      </c>
      <c r="L291" s="654" t="str">
        <v/>
      </c>
      <c r="M291" s="656" t="str">
        <v/>
      </c>
      <c r="N291" s="656" t="str">
        <v/>
      </c>
      <c r="O291" s="656" t="str">
        <v/>
      </c>
      <c r="P291" s="656" t="str">
        <v/>
      </c>
      <c r="Q291" s="657" t="str">
        <v/>
      </c>
      <c r="R291" s="658" t="str">
        <v/>
      </c>
      <c r="S291" s="655" t="str">
        <v/>
      </c>
      <c r="T291" s="658" t="str">
        <v/>
      </c>
      <c r="U291" s="665" t="str">
        <f>IF(AND(QueryFlag="ON",NOT(ISNA(I291))),_xll.BondOutstanding(I291),"")</f>
        <v/>
      </c>
    </row>
    <row r="292" spans="6:21">
      <c r="F292" s="908"/>
      <c r="G292" s="917" t="str">
        <f>IF(LEN($F292)&gt;1,_xll.BondInfo($F292,$G$4),"")</f>
        <v/>
      </c>
      <c r="I292" s="899"/>
      <c r="J292" s="655" t="str">
        <f t="array" ref="J292:T292">IF(AND(QueryFlag="ON",NOT(ISNA(I292))),_xll.BondInfo(I292,$J$4:$T$4),"")</f>
        <v/>
      </c>
      <c r="K292" s="656" t="str">
        <v/>
      </c>
      <c r="L292" s="654" t="str">
        <v/>
      </c>
      <c r="M292" s="656" t="str">
        <v/>
      </c>
      <c r="N292" s="656" t="str">
        <v/>
      </c>
      <c r="O292" s="656" t="str">
        <v/>
      </c>
      <c r="P292" s="656" t="str">
        <v/>
      </c>
      <c r="Q292" s="657" t="str">
        <v/>
      </c>
      <c r="R292" s="658" t="str">
        <v/>
      </c>
      <c r="S292" s="655" t="str">
        <v/>
      </c>
      <c r="T292" s="658" t="str">
        <v/>
      </c>
      <c r="U292" s="665" t="str">
        <f>IF(AND(QueryFlag="ON",NOT(ISNA(I292))),_xll.BondOutstanding(I292),"")</f>
        <v/>
      </c>
    </row>
    <row r="293" spans="6:21">
      <c r="F293" s="908"/>
      <c r="G293" s="917" t="str">
        <f>IF(LEN($F293)&gt;1,_xll.BondInfo($F293,$G$4),"")</f>
        <v/>
      </c>
      <c r="I293" s="899"/>
      <c r="J293" s="655" t="str">
        <f t="array" ref="J293:T293">IF(AND(QueryFlag="ON",NOT(ISNA(I293))),_xll.BondInfo(I293,$J$4:$T$4),"")</f>
        <v/>
      </c>
      <c r="K293" s="656" t="str">
        <v/>
      </c>
      <c r="L293" s="654" t="str">
        <v/>
      </c>
      <c r="M293" s="656" t="str">
        <v/>
      </c>
      <c r="N293" s="656" t="str">
        <v/>
      </c>
      <c r="O293" s="656" t="str">
        <v/>
      </c>
      <c r="P293" s="656" t="str">
        <v/>
      </c>
      <c r="Q293" s="657" t="str">
        <v/>
      </c>
      <c r="R293" s="658" t="str">
        <v/>
      </c>
      <c r="S293" s="655" t="str">
        <v/>
      </c>
      <c r="T293" s="658" t="str">
        <v/>
      </c>
      <c r="U293" s="665" t="str">
        <f>IF(AND(QueryFlag="ON",NOT(ISNA(I293))),_xll.BondOutstanding(I293),"")</f>
        <v/>
      </c>
    </row>
    <row r="294" spans="6:21">
      <c r="F294" s="908"/>
      <c r="G294" s="917" t="str">
        <f>IF(LEN($F294)&gt;1,_xll.BondInfo($F294,$G$4),"")</f>
        <v/>
      </c>
      <c r="I294" s="899"/>
      <c r="J294" s="655" t="str">
        <f t="array" ref="J294:T294">IF(AND(QueryFlag="ON",NOT(ISNA(I294))),_xll.BondInfo(I294,$J$4:$T$4),"")</f>
        <v/>
      </c>
      <c r="K294" s="656" t="str">
        <v/>
      </c>
      <c r="L294" s="654" t="str">
        <v/>
      </c>
      <c r="M294" s="656" t="str">
        <v/>
      </c>
      <c r="N294" s="656" t="str">
        <v/>
      </c>
      <c r="O294" s="656" t="str">
        <v/>
      </c>
      <c r="P294" s="656" t="str">
        <v/>
      </c>
      <c r="Q294" s="657" t="str">
        <v/>
      </c>
      <c r="R294" s="658" t="str">
        <v/>
      </c>
      <c r="S294" s="655" t="str">
        <v/>
      </c>
      <c r="T294" s="658" t="str">
        <v/>
      </c>
      <c r="U294" s="665" t="str">
        <f>IF(AND(QueryFlag="ON",NOT(ISNA(I294))),_xll.BondOutstanding(I294),"")</f>
        <v/>
      </c>
    </row>
    <row r="295" spans="6:21">
      <c r="F295" s="908"/>
      <c r="G295" s="917" t="str">
        <f>IF(LEN($F295)&gt;1,_xll.BondInfo($F295,$G$4),"")</f>
        <v/>
      </c>
      <c r="I295" s="899"/>
      <c r="J295" s="655" t="str">
        <f t="array" ref="J295:T295">IF(AND(QueryFlag="ON",NOT(ISNA(I295))),_xll.BondInfo(I295,$J$4:$T$4),"")</f>
        <v/>
      </c>
      <c r="K295" s="656" t="str">
        <v/>
      </c>
      <c r="L295" s="654" t="str">
        <v/>
      </c>
      <c r="M295" s="656" t="str">
        <v/>
      </c>
      <c r="N295" s="656" t="str">
        <v/>
      </c>
      <c r="O295" s="656" t="str">
        <v/>
      </c>
      <c r="P295" s="656" t="str">
        <v/>
      </c>
      <c r="Q295" s="657" t="str">
        <v/>
      </c>
      <c r="R295" s="658" t="str">
        <v/>
      </c>
      <c r="S295" s="655" t="str">
        <v/>
      </c>
      <c r="T295" s="658" t="str">
        <v/>
      </c>
      <c r="U295" s="665" t="str">
        <f>IF(AND(QueryFlag="ON",NOT(ISNA(I295))),_xll.BondOutstanding(I295),"")</f>
        <v/>
      </c>
    </row>
    <row r="296" spans="6:21">
      <c r="F296" s="908"/>
      <c r="G296" s="917" t="str">
        <f>IF(LEN($F296)&gt;1,_xll.BondInfo($F296,$G$4),"")</f>
        <v/>
      </c>
      <c r="I296" s="899"/>
      <c r="J296" s="655" t="str">
        <f t="array" ref="J296:T296">IF(AND(QueryFlag="ON",NOT(ISNA(I296))),_xll.BondInfo(I296,$J$4:$T$4),"")</f>
        <v/>
      </c>
      <c r="K296" s="656" t="str">
        <v/>
      </c>
      <c r="L296" s="654" t="str">
        <v/>
      </c>
      <c r="M296" s="656" t="str">
        <v/>
      </c>
      <c r="N296" s="656" t="str">
        <v/>
      </c>
      <c r="O296" s="656" t="str">
        <v/>
      </c>
      <c r="P296" s="656" t="str">
        <v/>
      </c>
      <c r="Q296" s="657" t="str">
        <v/>
      </c>
      <c r="R296" s="658" t="str">
        <v/>
      </c>
      <c r="S296" s="655" t="str">
        <v/>
      </c>
      <c r="T296" s="658" t="str">
        <v/>
      </c>
      <c r="U296" s="665" t="str">
        <f>IF(AND(QueryFlag="ON",NOT(ISNA(I296))),_xll.BondOutstanding(I296),"")</f>
        <v/>
      </c>
    </row>
    <row r="297" spans="6:21">
      <c r="F297" s="908"/>
      <c r="G297" s="917" t="str">
        <f>IF(LEN($F297)&gt;1,_xll.BondInfo($F297,$G$4),"")</f>
        <v/>
      </c>
      <c r="I297" s="899"/>
      <c r="J297" s="655" t="str">
        <f t="array" ref="J297:T297">IF(AND(QueryFlag="ON",NOT(ISNA(I297))),_xll.BondInfo(I297,$J$4:$T$4),"")</f>
        <v/>
      </c>
      <c r="K297" s="656" t="str">
        <v/>
      </c>
      <c r="L297" s="654" t="str">
        <v/>
      </c>
      <c r="M297" s="656" t="str">
        <v/>
      </c>
      <c r="N297" s="656" t="str">
        <v/>
      </c>
      <c r="O297" s="656" t="str">
        <v/>
      </c>
      <c r="P297" s="656" t="str">
        <v/>
      </c>
      <c r="Q297" s="657" t="str">
        <v/>
      </c>
      <c r="R297" s="658" t="str">
        <v/>
      </c>
      <c r="S297" s="655" t="str">
        <v/>
      </c>
      <c r="T297" s="658" t="str">
        <v/>
      </c>
      <c r="U297" s="665" t="str">
        <f>IF(AND(QueryFlag="ON",NOT(ISNA(I297))),_xll.BondOutstanding(I297),"")</f>
        <v/>
      </c>
    </row>
    <row r="298" spans="6:21">
      <c r="F298" s="908"/>
      <c r="G298" s="917" t="str">
        <f>IF(LEN($F298)&gt;1,_xll.BondInfo($F298,$G$4),"")</f>
        <v/>
      </c>
      <c r="I298" s="899"/>
      <c r="J298" s="655" t="str">
        <f t="array" ref="J298:T298">IF(AND(QueryFlag="ON",NOT(ISNA(I298))),_xll.BondInfo(I298,$J$4:$T$4),"")</f>
        <v/>
      </c>
      <c r="K298" s="656" t="str">
        <v/>
      </c>
      <c r="L298" s="654" t="str">
        <v/>
      </c>
      <c r="M298" s="656" t="str">
        <v/>
      </c>
      <c r="N298" s="656" t="str">
        <v/>
      </c>
      <c r="O298" s="656" t="str">
        <v/>
      </c>
      <c r="P298" s="656" t="str">
        <v/>
      </c>
      <c r="Q298" s="657" t="str">
        <v/>
      </c>
      <c r="R298" s="658" t="str">
        <v/>
      </c>
      <c r="S298" s="655" t="str">
        <v/>
      </c>
      <c r="T298" s="658" t="str">
        <v/>
      </c>
      <c r="U298" s="665" t="str">
        <f>IF(AND(QueryFlag="ON",NOT(ISNA(I298))),_xll.BondOutstanding(I298),"")</f>
        <v/>
      </c>
    </row>
    <row r="299" spans="6:21">
      <c r="F299" s="908"/>
      <c r="G299" s="917" t="str">
        <f>IF(LEN($F299)&gt;1,_xll.BondInfo($F299,$G$4),"")</f>
        <v/>
      </c>
      <c r="I299" s="899"/>
      <c r="J299" s="655" t="str">
        <f t="array" ref="J299:T299">IF(AND(QueryFlag="ON",NOT(ISNA(I299))),_xll.BondInfo(I299,$J$4:$T$4),"")</f>
        <v/>
      </c>
      <c r="K299" s="656" t="str">
        <v/>
      </c>
      <c r="L299" s="654" t="str">
        <v/>
      </c>
      <c r="M299" s="656" t="str">
        <v/>
      </c>
      <c r="N299" s="656" t="str">
        <v/>
      </c>
      <c r="O299" s="656" t="str">
        <v/>
      </c>
      <c r="P299" s="656" t="str">
        <v/>
      </c>
      <c r="Q299" s="657" t="str">
        <v/>
      </c>
      <c r="R299" s="658" t="str">
        <v/>
      </c>
      <c r="S299" s="655" t="str">
        <v/>
      </c>
      <c r="T299" s="658" t="str">
        <v/>
      </c>
      <c r="U299" s="665" t="str">
        <f>IF(AND(QueryFlag="ON",NOT(ISNA(I299))),_xll.BondOutstanding(I299),"")</f>
        <v/>
      </c>
    </row>
    <row r="300" spans="6:21">
      <c r="F300" s="908"/>
      <c r="G300" s="917" t="str">
        <f>IF(LEN($F300)&gt;1,_xll.BondInfo($F300,$G$4),"")</f>
        <v/>
      </c>
      <c r="I300" s="899"/>
      <c r="J300" s="655" t="str">
        <f t="array" ref="J300:T300">IF(AND(QueryFlag="ON",NOT(ISNA(I300))),_xll.BondInfo(I300,$J$4:$T$4),"")</f>
        <v/>
      </c>
      <c r="K300" s="656" t="str">
        <v/>
      </c>
      <c r="L300" s="654" t="str">
        <v/>
      </c>
      <c r="M300" s="656" t="str">
        <v/>
      </c>
      <c r="N300" s="656" t="str">
        <v/>
      </c>
      <c r="O300" s="656" t="str">
        <v/>
      </c>
      <c r="P300" s="656" t="str">
        <v/>
      </c>
      <c r="Q300" s="657" t="str">
        <v/>
      </c>
      <c r="R300" s="658" t="str">
        <v/>
      </c>
      <c r="S300" s="655" t="str">
        <v/>
      </c>
      <c r="T300" s="658" t="str">
        <v/>
      </c>
      <c r="U300" s="665" t="str">
        <f>IF(AND(QueryFlag="ON",NOT(ISNA(I300))),_xll.BondOutstanding(I300),"")</f>
        <v/>
      </c>
    </row>
    <row r="301" spans="6:21">
      <c r="F301" s="908"/>
      <c r="G301" s="917" t="str">
        <f>IF(LEN($F301)&gt;1,_xll.BondInfo($F301,$G$4),"")</f>
        <v/>
      </c>
      <c r="I301" s="899"/>
      <c r="J301" s="655" t="str">
        <f t="array" ref="J301:T301">IF(AND(QueryFlag="ON",NOT(ISNA(I301))),_xll.BondInfo(I301,$J$4:$T$4),"")</f>
        <v/>
      </c>
      <c r="K301" s="656" t="str">
        <v/>
      </c>
      <c r="L301" s="654" t="str">
        <v/>
      </c>
      <c r="M301" s="656" t="str">
        <v/>
      </c>
      <c r="N301" s="656" t="str">
        <v/>
      </c>
      <c r="O301" s="656" t="str">
        <v/>
      </c>
      <c r="P301" s="656" t="str">
        <v/>
      </c>
      <c r="Q301" s="657" t="str">
        <v/>
      </c>
      <c r="R301" s="658" t="str">
        <v/>
      </c>
      <c r="S301" s="655" t="str">
        <v/>
      </c>
      <c r="T301" s="658" t="str">
        <v/>
      </c>
      <c r="U301" s="665" t="str">
        <f>IF(AND(QueryFlag="ON",NOT(ISNA(I301))),_xll.BondOutstanding(I301),"")</f>
        <v/>
      </c>
    </row>
    <row r="302" spans="6:21">
      <c r="F302" s="908"/>
      <c r="G302" s="917" t="str">
        <f>IF(LEN($F302)&gt;1,_xll.BondInfo($F302,$G$4),"")</f>
        <v/>
      </c>
      <c r="I302" s="899"/>
      <c r="J302" s="655" t="str">
        <f t="array" ref="J302:T302">IF(AND(QueryFlag="ON",NOT(ISNA(I302))),_xll.BondInfo(I302,$J$4:$T$4),"")</f>
        <v/>
      </c>
      <c r="K302" s="656" t="str">
        <v/>
      </c>
      <c r="L302" s="654" t="str">
        <v/>
      </c>
      <c r="M302" s="656" t="str">
        <v/>
      </c>
      <c r="N302" s="656" t="str">
        <v/>
      </c>
      <c r="O302" s="656" t="str">
        <v/>
      </c>
      <c r="P302" s="656" t="str">
        <v/>
      </c>
      <c r="Q302" s="657" t="str">
        <v/>
      </c>
      <c r="R302" s="658" t="str">
        <v/>
      </c>
      <c r="S302" s="655" t="str">
        <v/>
      </c>
      <c r="T302" s="658" t="str">
        <v/>
      </c>
      <c r="U302" s="665" t="str">
        <f>IF(AND(QueryFlag="ON",NOT(ISNA(I302))),_xll.BondOutstanding(I302),"")</f>
        <v/>
      </c>
    </row>
    <row r="303" spans="6:21">
      <c r="F303" s="908"/>
      <c r="G303" s="917" t="str">
        <f>IF(LEN($F303)&gt;1,_xll.BondInfo($F303,$G$4),"")</f>
        <v/>
      </c>
      <c r="I303" s="899"/>
      <c r="J303" s="655" t="str">
        <f t="array" ref="J303:T303">IF(AND(QueryFlag="ON",NOT(ISNA(I303))),_xll.BondInfo(I303,$J$4:$T$4),"")</f>
        <v/>
      </c>
      <c r="K303" s="656" t="str">
        <v/>
      </c>
      <c r="L303" s="654" t="str">
        <v/>
      </c>
      <c r="M303" s="656" t="str">
        <v/>
      </c>
      <c r="N303" s="656" t="str">
        <v/>
      </c>
      <c r="O303" s="656" t="str">
        <v/>
      </c>
      <c r="P303" s="656" t="str">
        <v/>
      </c>
      <c r="Q303" s="657" t="str">
        <v/>
      </c>
      <c r="R303" s="658" t="str">
        <v/>
      </c>
      <c r="S303" s="655" t="str">
        <v/>
      </c>
      <c r="T303" s="658" t="str">
        <v/>
      </c>
      <c r="U303" s="665" t="str">
        <f>IF(AND(QueryFlag="ON",NOT(ISNA(I303))),_xll.BondOutstanding(I303),"")</f>
        <v/>
      </c>
    </row>
    <row r="304" spans="6:21">
      <c r="F304" s="908"/>
      <c r="G304" s="917" t="str">
        <f>IF(LEN($F304)&gt;1,_xll.BondInfo($F304,$G$4),"")</f>
        <v/>
      </c>
      <c r="I304" s="899"/>
      <c r="J304" s="655" t="str">
        <f t="array" ref="J304:T304">IF(AND(QueryFlag="ON",NOT(ISNA(I304))),_xll.BondInfo(I304,$J$4:$T$4),"")</f>
        <v/>
      </c>
      <c r="K304" s="656" t="str">
        <v/>
      </c>
      <c r="L304" s="654" t="str">
        <v/>
      </c>
      <c r="M304" s="656" t="str">
        <v/>
      </c>
      <c r="N304" s="656" t="str">
        <v/>
      </c>
      <c r="O304" s="656" t="str">
        <v/>
      </c>
      <c r="P304" s="656" t="str">
        <v/>
      </c>
      <c r="Q304" s="657" t="str">
        <v/>
      </c>
      <c r="R304" s="658" t="str">
        <v/>
      </c>
      <c r="S304" s="655" t="str">
        <v/>
      </c>
      <c r="T304" s="658" t="str">
        <v/>
      </c>
      <c r="U304" s="665" t="str">
        <f>IF(AND(QueryFlag="ON",NOT(ISNA(I304))),_xll.BondOutstanding(I304),"")</f>
        <v/>
      </c>
    </row>
    <row r="305" spans="6:21">
      <c r="F305" s="908"/>
      <c r="G305" s="917" t="str">
        <f>IF(LEN($F305)&gt;1,_xll.BondInfo($F305,$G$4),"")</f>
        <v/>
      </c>
      <c r="I305" s="899"/>
      <c r="J305" s="655" t="str">
        <f t="array" ref="J305:T305">IF(AND(QueryFlag="ON",NOT(ISNA(I305))),_xll.BondInfo(I305,$J$4:$T$4),"")</f>
        <v/>
      </c>
      <c r="K305" s="656" t="str">
        <v/>
      </c>
      <c r="L305" s="654" t="str">
        <v/>
      </c>
      <c r="M305" s="656" t="str">
        <v/>
      </c>
      <c r="N305" s="656" t="str">
        <v/>
      </c>
      <c r="O305" s="656" t="str">
        <v/>
      </c>
      <c r="P305" s="656" t="str">
        <v/>
      </c>
      <c r="Q305" s="657" t="str">
        <v/>
      </c>
      <c r="R305" s="658" t="str">
        <v/>
      </c>
      <c r="S305" s="655" t="str">
        <v/>
      </c>
      <c r="T305" s="658" t="str">
        <v/>
      </c>
      <c r="U305" s="665" t="str">
        <f>IF(AND(QueryFlag="ON",NOT(ISNA(I305))),_xll.BondOutstanding(I305),"")</f>
        <v/>
      </c>
    </row>
    <row r="306" spans="6:21">
      <c r="F306" s="908"/>
      <c r="G306" s="917" t="str">
        <f>IF(LEN($F306)&gt;1,_xll.BondInfo($F306,$G$4),"")</f>
        <v/>
      </c>
      <c r="I306" s="899"/>
      <c r="J306" s="655" t="str">
        <f t="array" ref="J306:T306">IF(AND(QueryFlag="ON",NOT(ISNA(I306))),_xll.BondInfo(I306,$J$4:$T$4),"")</f>
        <v/>
      </c>
      <c r="K306" s="656" t="str">
        <v/>
      </c>
      <c r="L306" s="654" t="str">
        <v/>
      </c>
      <c r="M306" s="656" t="str">
        <v/>
      </c>
      <c r="N306" s="656" t="str">
        <v/>
      </c>
      <c r="O306" s="656" t="str">
        <v/>
      </c>
      <c r="P306" s="656" t="str">
        <v/>
      </c>
      <c r="Q306" s="657" t="str">
        <v/>
      </c>
      <c r="R306" s="658" t="str">
        <v/>
      </c>
      <c r="S306" s="655" t="str">
        <v/>
      </c>
      <c r="T306" s="658" t="str">
        <v/>
      </c>
      <c r="U306" s="665" t="str">
        <f>IF(AND(QueryFlag="ON",NOT(ISNA(I306))),_xll.BondOutstanding(I306),"")</f>
        <v/>
      </c>
    </row>
    <row r="307" spans="6:21">
      <c r="F307" s="908"/>
      <c r="G307" s="917" t="str">
        <f>IF(LEN($F307)&gt;1,_xll.BondInfo($F307,$G$4),"")</f>
        <v/>
      </c>
      <c r="I307" s="899"/>
      <c r="J307" s="655" t="str">
        <f t="array" ref="J307:T307">IF(AND(QueryFlag="ON",NOT(ISNA(I307))),_xll.BondInfo(I307,$J$4:$T$4),"")</f>
        <v/>
      </c>
      <c r="K307" s="656" t="str">
        <v/>
      </c>
      <c r="L307" s="654" t="str">
        <v/>
      </c>
      <c r="M307" s="656" t="str">
        <v/>
      </c>
      <c r="N307" s="656" t="str">
        <v/>
      </c>
      <c r="O307" s="656" t="str">
        <v/>
      </c>
      <c r="P307" s="656" t="str">
        <v/>
      </c>
      <c r="Q307" s="657" t="str">
        <v/>
      </c>
      <c r="R307" s="658" t="str">
        <v/>
      </c>
      <c r="S307" s="655" t="str">
        <v/>
      </c>
      <c r="T307" s="658" t="str">
        <v/>
      </c>
      <c r="U307" s="665" t="str">
        <f>IF(AND(QueryFlag="ON",NOT(ISNA(I307))),_xll.BondOutstanding(I307),"")</f>
        <v/>
      </c>
    </row>
    <row r="308" spans="6:21">
      <c r="F308" s="908"/>
      <c r="G308" s="917" t="str">
        <f>IF(LEN($F308)&gt;1,_xll.BondInfo($F308,$G$4),"")</f>
        <v/>
      </c>
      <c r="I308" s="899"/>
      <c r="J308" s="655" t="str">
        <f t="array" ref="J308:T308">IF(AND(QueryFlag="ON",NOT(ISNA(I308))),_xll.BondInfo(I308,$J$4:$T$4),"")</f>
        <v/>
      </c>
      <c r="K308" s="656" t="str">
        <v/>
      </c>
      <c r="L308" s="654" t="str">
        <v/>
      </c>
      <c r="M308" s="656" t="str">
        <v/>
      </c>
      <c r="N308" s="656" t="str">
        <v/>
      </c>
      <c r="O308" s="656" t="str">
        <v/>
      </c>
      <c r="P308" s="656" t="str">
        <v/>
      </c>
      <c r="Q308" s="657" t="str">
        <v/>
      </c>
      <c r="R308" s="658" t="str">
        <v/>
      </c>
      <c r="S308" s="655" t="str">
        <v/>
      </c>
      <c r="T308" s="658" t="str">
        <v/>
      </c>
      <c r="U308" s="665" t="str">
        <f>IF(AND(QueryFlag="ON",NOT(ISNA(I308))),_xll.BondOutstanding(I308),"")</f>
        <v/>
      </c>
    </row>
    <row r="309" spans="6:21">
      <c r="F309" s="908"/>
      <c r="G309" s="917" t="str">
        <f>IF(LEN($F309)&gt;1,_xll.BondInfo($F309,$G$4),"")</f>
        <v/>
      </c>
      <c r="I309" s="899"/>
      <c r="J309" s="655" t="str">
        <f t="array" ref="J309:T309">IF(AND(QueryFlag="ON",NOT(ISNA(I309))),_xll.BondInfo(I309,$J$4:$T$4),"")</f>
        <v/>
      </c>
      <c r="K309" s="656" t="str">
        <v/>
      </c>
      <c r="L309" s="654" t="str">
        <v/>
      </c>
      <c r="M309" s="656" t="str">
        <v/>
      </c>
      <c r="N309" s="656" t="str">
        <v/>
      </c>
      <c r="O309" s="656" t="str">
        <v/>
      </c>
      <c r="P309" s="656" t="str">
        <v/>
      </c>
      <c r="Q309" s="657" t="str">
        <v/>
      </c>
      <c r="R309" s="658" t="str">
        <v/>
      </c>
      <c r="S309" s="655" t="str">
        <v/>
      </c>
      <c r="T309" s="658" t="str">
        <v/>
      </c>
      <c r="U309" s="665" t="str">
        <f>IF(AND(QueryFlag="ON",NOT(ISNA(I309))),_xll.BondOutstanding(I309),"")</f>
        <v/>
      </c>
    </row>
    <row r="310" spans="6:21">
      <c r="F310" s="908"/>
      <c r="G310" s="917" t="str">
        <f>IF(LEN($F310)&gt;1,_xll.BondInfo($F310,$G$4),"")</f>
        <v/>
      </c>
      <c r="I310" s="899"/>
      <c r="J310" s="655" t="str">
        <f t="array" ref="J310:T310">IF(AND(QueryFlag="ON",NOT(ISNA(I310))),_xll.BondInfo(I310,$J$4:$T$4),"")</f>
        <v/>
      </c>
      <c r="K310" s="656" t="str">
        <v/>
      </c>
      <c r="L310" s="654" t="str">
        <v/>
      </c>
      <c r="M310" s="656" t="str">
        <v/>
      </c>
      <c r="N310" s="656" t="str">
        <v/>
      </c>
      <c r="O310" s="656" t="str">
        <v/>
      </c>
      <c r="P310" s="656" t="str">
        <v/>
      </c>
      <c r="Q310" s="657" t="str">
        <v/>
      </c>
      <c r="R310" s="658" t="str">
        <v/>
      </c>
      <c r="S310" s="655" t="str">
        <v/>
      </c>
      <c r="T310" s="658" t="str">
        <v/>
      </c>
      <c r="U310" s="665" t="str">
        <f>IF(AND(QueryFlag="ON",NOT(ISNA(I310))),_xll.BondOutstanding(I310),"")</f>
        <v/>
      </c>
    </row>
    <row r="311" spans="6:21">
      <c r="F311" s="908"/>
      <c r="G311" s="917" t="str">
        <f>IF(LEN($F311)&gt;1,_xll.BondInfo($F311,$G$4),"")</f>
        <v/>
      </c>
      <c r="I311" s="899"/>
      <c r="J311" s="655" t="str">
        <f t="array" ref="J311:T311">IF(AND(QueryFlag="ON",NOT(ISNA(I311))),_xll.BondInfo(I311,$J$4:$T$4),"")</f>
        <v/>
      </c>
      <c r="K311" s="656" t="str">
        <v/>
      </c>
      <c r="L311" s="654" t="str">
        <v/>
      </c>
      <c r="M311" s="656" t="str">
        <v/>
      </c>
      <c r="N311" s="656" t="str">
        <v/>
      </c>
      <c r="O311" s="656" t="str">
        <v/>
      </c>
      <c r="P311" s="656" t="str">
        <v/>
      </c>
      <c r="Q311" s="657" t="str">
        <v/>
      </c>
      <c r="R311" s="658" t="str">
        <v/>
      </c>
      <c r="S311" s="655" t="str">
        <v/>
      </c>
      <c r="T311" s="658" t="str">
        <v/>
      </c>
      <c r="U311" s="665" t="str">
        <f>IF(AND(QueryFlag="ON",NOT(ISNA(I311))),_xll.BondOutstanding(I311),"")</f>
        <v/>
      </c>
    </row>
    <row r="312" spans="6:21">
      <c r="F312" s="908"/>
      <c r="G312" s="917" t="str">
        <f>IF(LEN($F312)&gt;1,_xll.BondInfo($F312,$G$4),"")</f>
        <v/>
      </c>
      <c r="I312" s="899"/>
      <c r="J312" s="655" t="str">
        <f t="array" ref="J312:T312">IF(AND(QueryFlag="ON",NOT(ISNA(I312))),_xll.BondInfo(I312,$J$4:$T$4),"")</f>
        <v/>
      </c>
      <c r="K312" s="656" t="str">
        <v/>
      </c>
      <c r="L312" s="654" t="str">
        <v/>
      </c>
      <c r="M312" s="656" t="str">
        <v/>
      </c>
      <c r="N312" s="656" t="str">
        <v/>
      </c>
      <c r="O312" s="656" t="str">
        <v/>
      </c>
      <c r="P312" s="656" t="str">
        <v/>
      </c>
      <c r="Q312" s="657" t="str">
        <v/>
      </c>
      <c r="R312" s="658" t="str">
        <v/>
      </c>
      <c r="S312" s="655" t="str">
        <v/>
      </c>
      <c r="T312" s="658" t="str">
        <v/>
      </c>
      <c r="U312" s="665" t="str">
        <f>IF(AND(QueryFlag="ON",NOT(ISNA(I312))),_xll.BondOutstanding(I312),"")</f>
        <v/>
      </c>
    </row>
    <row r="313" spans="6:21">
      <c r="F313" s="908"/>
      <c r="G313" s="917" t="str">
        <f>IF(LEN($F313)&gt;1,_xll.BondInfo($F313,$G$4),"")</f>
        <v/>
      </c>
      <c r="I313" s="899"/>
      <c r="J313" s="655" t="str">
        <f t="array" ref="J313:T313">IF(AND(QueryFlag="ON",NOT(ISNA(I313))),_xll.BondInfo(I313,$J$4:$T$4),"")</f>
        <v/>
      </c>
      <c r="K313" s="656" t="str">
        <v/>
      </c>
      <c r="L313" s="654" t="str">
        <v/>
      </c>
      <c r="M313" s="656" t="str">
        <v/>
      </c>
      <c r="N313" s="656" t="str">
        <v/>
      </c>
      <c r="O313" s="656" t="str">
        <v/>
      </c>
      <c r="P313" s="656" t="str">
        <v/>
      </c>
      <c r="Q313" s="657" t="str">
        <v/>
      </c>
      <c r="R313" s="658" t="str">
        <v/>
      </c>
      <c r="S313" s="655" t="str">
        <v/>
      </c>
      <c r="T313" s="658" t="str">
        <v/>
      </c>
      <c r="U313" s="665" t="str">
        <f>IF(AND(QueryFlag="ON",NOT(ISNA(I313))),_xll.BondOutstanding(I313),"")</f>
        <v/>
      </c>
    </row>
    <row r="314" spans="6:21">
      <c r="F314" s="908"/>
      <c r="G314" s="917" t="str">
        <f>IF(LEN($F314)&gt;1,_xll.BondInfo($F314,$G$4),"")</f>
        <v/>
      </c>
      <c r="I314" s="899"/>
      <c r="J314" s="655" t="str">
        <f t="array" ref="J314:T314">IF(AND(QueryFlag="ON",NOT(ISNA(I314))),_xll.BondInfo(I314,$J$4:$T$4),"")</f>
        <v/>
      </c>
      <c r="K314" s="656" t="str">
        <v/>
      </c>
      <c r="L314" s="654" t="str">
        <v/>
      </c>
      <c r="M314" s="656" t="str">
        <v/>
      </c>
      <c r="N314" s="656" t="str">
        <v/>
      </c>
      <c r="O314" s="656" t="str">
        <v/>
      </c>
      <c r="P314" s="656" t="str">
        <v/>
      </c>
      <c r="Q314" s="657" t="str">
        <v/>
      </c>
      <c r="R314" s="658" t="str">
        <v/>
      </c>
      <c r="S314" s="655" t="str">
        <v/>
      </c>
      <c r="T314" s="658" t="str">
        <v/>
      </c>
      <c r="U314" s="665" t="str">
        <f>IF(AND(QueryFlag="ON",NOT(ISNA(I314))),_xll.BondOutstanding(I314),"")</f>
        <v/>
      </c>
    </row>
    <row r="315" spans="6:21">
      <c r="F315" s="908"/>
      <c r="G315" s="917" t="str">
        <f>IF(LEN($F315)&gt;1,_xll.BondInfo($F315,$G$4),"")</f>
        <v/>
      </c>
      <c r="I315" s="899"/>
      <c r="J315" s="655" t="str">
        <f t="array" ref="J315:T315">IF(AND(QueryFlag="ON",NOT(ISNA(I315))),_xll.BondInfo(I315,$J$4:$T$4),"")</f>
        <v/>
      </c>
      <c r="K315" s="656" t="str">
        <v/>
      </c>
      <c r="L315" s="654" t="str">
        <v/>
      </c>
      <c r="M315" s="656" t="str">
        <v/>
      </c>
      <c r="N315" s="656" t="str">
        <v/>
      </c>
      <c r="O315" s="656" t="str">
        <v/>
      </c>
      <c r="P315" s="656" t="str">
        <v/>
      </c>
      <c r="Q315" s="657" t="str">
        <v/>
      </c>
      <c r="R315" s="658" t="str">
        <v/>
      </c>
      <c r="S315" s="655" t="str">
        <v/>
      </c>
      <c r="T315" s="658" t="str">
        <v/>
      </c>
      <c r="U315" s="665" t="str">
        <f>IF(AND(QueryFlag="ON",NOT(ISNA(I315))),_xll.BondOutstanding(I315),"")</f>
        <v/>
      </c>
    </row>
    <row r="316" spans="6:21">
      <c r="F316" s="908"/>
      <c r="G316" s="917" t="str">
        <f>IF(LEN($F316)&gt;1,_xll.BondInfo($F316,$G$4),"")</f>
        <v/>
      </c>
      <c r="I316" s="899"/>
      <c r="J316" s="655" t="str">
        <f t="array" ref="J316:T316">IF(AND(QueryFlag="ON",NOT(ISNA(I316))),_xll.BondInfo(I316,$J$4:$T$4),"")</f>
        <v/>
      </c>
      <c r="K316" s="656" t="str">
        <v/>
      </c>
      <c r="L316" s="654" t="str">
        <v/>
      </c>
      <c r="M316" s="656" t="str">
        <v/>
      </c>
      <c r="N316" s="656" t="str">
        <v/>
      </c>
      <c r="O316" s="656" t="str">
        <v/>
      </c>
      <c r="P316" s="656" t="str">
        <v/>
      </c>
      <c r="Q316" s="657" t="str">
        <v/>
      </c>
      <c r="R316" s="658" t="str">
        <v/>
      </c>
      <c r="S316" s="655" t="str">
        <v/>
      </c>
      <c r="T316" s="658" t="str">
        <v/>
      </c>
      <c r="U316" s="665" t="str">
        <f>IF(AND(QueryFlag="ON",NOT(ISNA(I316))),_xll.BondOutstanding(I316),"")</f>
        <v/>
      </c>
    </row>
    <row r="317" spans="6:21">
      <c r="F317" s="908"/>
      <c r="G317" s="917" t="str">
        <f>IF(LEN($F317)&gt;1,_xll.BondInfo($F317,$G$4),"")</f>
        <v/>
      </c>
      <c r="I317" s="899"/>
      <c r="J317" s="655" t="str">
        <f t="array" ref="J317:T317">IF(AND(QueryFlag="ON",NOT(ISNA(I317))),_xll.BondInfo(I317,$J$4:$T$4),"")</f>
        <v/>
      </c>
      <c r="K317" s="656" t="str">
        <v/>
      </c>
      <c r="L317" s="654" t="str">
        <v/>
      </c>
      <c r="M317" s="656" t="str">
        <v/>
      </c>
      <c r="N317" s="656" t="str">
        <v/>
      </c>
      <c r="O317" s="656" t="str">
        <v/>
      </c>
      <c r="P317" s="656" t="str">
        <v/>
      </c>
      <c r="Q317" s="657" t="str">
        <v/>
      </c>
      <c r="R317" s="658" t="str">
        <v/>
      </c>
      <c r="S317" s="655" t="str">
        <v/>
      </c>
      <c r="T317" s="658" t="str">
        <v/>
      </c>
      <c r="U317" s="665" t="str">
        <f>IF(AND(QueryFlag="ON",NOT(ISNA(I317))),_xll.BondOutstanding(I317),"")</f>
        <v/>
      </c>
    </row>
    <row r="318" spans="6:21">
      <c r="F318" s="908"/>
      <c r="G318" s="917" t="str">
        <f>IF(LEN($F318)&gt;1,_xll.BondInfo($F318,$G$4),"")</f>
        <v/>
      </c>
      <c r="I318" s="899"/>
      <c r="J318" s="655" t="str">
        <f t="array" ref="J318:T318">IF(AND(QueryFlag="ON",NOT(ISNA(I318))),_xll.BondInfo(I318,$J$4:$T$4),"")</f>
        <v/>
      </c>
      <c r="K318" s="656" t="str">
        <v/>
      </c>
      <c r="L318" s="654" t="str">
        <v/>
      </c>
      <c r="M318" s="656" t="str">
        <v/>
      </c>
      <c r="N318" s="656" t="str">
        <v/>
      </c>
      <c r="O318" s="656" t="str">
        <v/>
      </c>
      <c r="P318" s="656" t="str">
        <v/>
      </c>
      <c r="Q318" s="657" t="str">
        <v/>
      </c>
      <c r="R318" s="658" t="str">
        <v/>
      </c>
      <c r="S318" s="655" t="str">
        <v/>
      </c>
      <c r="T318" s="658" t="str">
        <v/>
      </c>
      <c r="U318" s="665" t="str">
        <f>IF(AND(QueryFlag="ON",NOT(ISNA(I318))),_xll.BondOutstanding(I318),"")</f>
        <v/>
      </c>
    </row>
    <row r="319" spans="6:21">
      <c r="F319" s="908"/>
      <c r="G319" s="917" t="str">
        <f>IF(LEN($F319)&gt;1,_xll.BondInfo($F319,$G$4),"")</f>
        <v/>
      </c>
      <c r="I319" s="899"/>
      <c r="J319" s="655" t="str">
        <f t="array" ref="J319:T319">IF(AND(QueryFlag="ON",NOT(ISNA(I319))),_xll.BondInfo(I319,$J$4:$T$4),"")</f>
        <v/>
      </c>
      <c r="K319" s="656" t="str">
        <v/>
      </c>
      <c r="L319" s="654" t="str">
        <v/>
      </c>
      <c r="M319" s="656" t="str">
        <v/>
      </c>
      <c r="N319" s="656" t="str">
        <v/>
      </c>
      <c r="O319" s="656" t="str">
        <v/>
      </c>
      <c r="P319" s="656" t="str">
        <v/>
      </c>
      <c r="Q319" s="657" t="str">
        <v/>
      </c>
      <c r="R319" s="658" t="str">
        <v/>
      </c>
      <c r="S319" s="655" t="str">
        <v/>
      </c>
      <c r="T319" s="658" t="str">
        <v/>
      </c>
      <c r="U319" s="665" t="str">
        <f>IF(AND(QueryFlag="ON",NOT(ISNA(I319))),_xll.BondOutstanding(I319),"")</f>
        <v/>
      </c>
    </row>
    <row r="320" spans="6:21">
      <c r="F320" s="908"/>
      <c r="G320" s="917" t="str">
        <f>IF(LEN($F320)&gt;1,_xll.BondInfo($F320,$G$4),"")</f>
        <v/>
      </c>
      <c r="I320" s="899"/>
      <c r="J320" s="655" t="str">
        <f t="array" ref="J320:T320">IF(AND(QueryFlag="ON",NOT(ISNA(I320))),_xll.BondInfo(I320,$J$4:$T$4),"")</f>
        <v/>
      </c>
      <c r="K320" s="656" t="str">
        <v/>
      </c>
      <c r="L320" s="654" t="str">
        <v/>
      </c>
      <c r="M320" s="656" t="str">
        <v/>
      </c>
      <c r="N320" s="656" t="str">
        <v/>
      </c>
      <c r="O320" s="656" t="str">
        <v/>
      </c>
      <c r="P320" s="656" t="str">
        <v/>
      </c>
      <c r="Q320" s="657" t="str">
        <v/>
      </c>
      <c r="R320" s="658" t="str">
        <v/>
      </c>
      <c r="S320" s="655" t="str">
        <v/>
      </c>
      <c r="T320" s="658" t="str">
        <v/>
      </c>
      <c r="U320" s="665" t="str">
        <f>IF(AND(QueryFlag="ON",NOT(ISNA(I320))),_xll.BondOutstanding(I320),"")</f>
        <v/>
      </c>
    </row>
    <row r="321" spans="6:21">
      <c r="F321" s="908"/>
      <c r="G321" s="917" t="str">
        <f>IF(LEN($F321)&gt;1,_xll.BondInfo($F321,$G$4),"")</f>
        <v/>
      </c>
      <c r="I321" s="899"/>
      <c r="J321" s="655" t="str">
        <f t="array" ref="J321:T321">IF(AND(QueryFlag="ON",NOT(ISNA(I321))),_xll.BondInfo(I321,$J$4:$T$4),"")</f>
        <v/>
      </c>
      <c r="K321" s="656" t="str">
        <v/>
      </c>
      <c r="L321" s="654" t="str">
        <v/>
      </c>
      <c r="M321" s="656" t="str">
        <v/>
      </c>
      <c r="N321" s="656" t="str">
        <v/>
      </c>
      <c r="O321" s="656" t="str">
        <v/>
      </c>
      <c r="P321" s="656" t="str">
        <v/>
      </c>
      <c r="Q321" s="657" t="str">
        <v/>
      </c>
      <c r="R321" s="658" t="str">
        <v/>
      </c>
      <c r="S321" s="655" t="str">
        <v/>
      </c>
      <c r="T321" s="658" t="str">
        <v/>
      </c>
      <c r="U321" s="665" t="str">
        <f>IF(AND(QueryFlag="ON",NOT(ISNA(I321))),_xll.BondOutstanding(I321),"")</f>
        <v/>
      </c>
    </row>
    <row r="322" spans="6:21">
      <c r="F322" s="908"/>
      <c r="G322" s="917" t="str">
        <f>IF(LEN($F322)&gt;1,_xll.BondInfo($F322,$G$4),"")</f>
        <v/>
      </c>
      <c r="I322" s="899"/>
      <c r="J322" s="655" t="str">
        <f t="array" ref="J322:T322">IF(AND(QueryFlag="ON",NOT(ISNA(I322))),_xll.BondInfo(I322,$J$4:$T$4),"")</f>
        <v/>
      </c>
      <c r="K322" s="656" t="str">
        <v/>
      </c>
      <c r="L322" s="654" t="str">
        <v/>
      </c>
      <c r="M322" s="656" t="str">
        <v/>
      </c>
      <c r="N322" s="656" t="str">
        <v/>
      </c>
      <c r="O322" s="656" t="str">
        <v/>
      </c>
      <c r="P322" s="656" t="str">
        <v/>
      </c>
      <c r="Q322" s="657" t="str">
        <v/>
      </c>
      <c r="R322" s="658" t="str">
        <v/>
      </c>
      <c r="S322" s="655" t="str">
        <v/>
      </c>
      <c r="T322" s="658" t="str">
        <v/>
      </c>
      <c r="U322" s="665" t="str">
        <f>IF(AND(QueryFlag="ON",NOT(ISNA(I322))),_xll.BondOutstanding(I322),"")</f>
        <v/>
      </c>
    </row>
    <row r="323" spans="6:21">
      <c r="F323" s="908"/>
      <c r="G323" s="917" t="str">
        <f>IF(LEN($F323)&gt;1,_xll.BondInfo($F323,$G$4),"")</f>
        <v/>
      </c>
      <c r="I323" s="899"/>
      <c r="J323" s="655" t="str">
        <f t="array" ref="J323:T323">IF(AND(QueryFlag="ON",NOT(ISNA(I323))),_xll.BondInfo(I323,$J$4:$T$4),"")</f>
        <v/>
      </c>
      <c r="K323" s="656" t="str">
        <v/>
      </c>
      <c r="L323" s="654" t="str">
        <v/>
      </c>
      <c r="M323" s="656" t="str">
        <v/>
      </c>
      <c r="N323" s="656" t="str">
        <v/>
      </c>
      <c r="O323" s="656" t="str">
        <v/>
      </c>
      <c r="P323" s="656" t="str">
        <v/>
      </c>
      <c r="Q323" s="657" t="str">
        <v/>
      </c>
      <c r="R323" s="658" t="str">
        <v/>
      </c>
      <c r="S323" s="655" t="str">
        <v/>
      </c>
      <c r="T323" s="658" t="str">
        <v/>
      </c>
      <c r="U323" s="665" t="str">
        <f>IF(AND(QueryFlag="ON",NOT(ISNA(I323))),_xll.BondOutstanding(I323),"")</f>
        <v/>
      </c>
    </row>
    <row r="324" spans="6:21">
      <c r="F324" s="908"/>
      <c r="G324" s="917" t="str">
        <f>IF(LEN($F324)&gt;1,_xll.BondInfo($F324,$G$4),"")</f>
        <v/>
      </c>
      <c r="I324" s="899"/>
      <c r="J324" s="655" t="str">
        <f t="array" ref="J324:T324">IF(AND(QueryFlag="ON",NOT(ISNA(I324))),_xll.BondInfo(I324,$J$4:$T$4),"")</f>
        <v/>
      </c>
      <c r="K324" s="656" t="str">
        <v/>
      </c>
      <c r="L324" s="654" t="str">
        <v/>
      </c>
      <c r="M324" s="656" t="str">
        <v/>
      </c>
      <c r="N324" s="656" t="str">
        <v/>
      </c>
      <c r="O324" s="656" t="str">
        <v/>
      </c>
      <c r="P324" s="656" t="str">
        <v/>
      </c>
      <c r="Q324" s="657" t="str">
        <v/>
      </c>
      <c r="R324" s="658" t="str">
        <v/>
      </c>
      <c r="S324" s="655" t="str">
        <v/>
      </c>
      <c r="T324" s="658" t="str">
        <v/>
      </c>
      <c r="U324" s="665" t="str">
        <f>IF(AND(QueryFlag="ON",NOT(ISNA(I324))),_xll.BondOutstanding(I324),"")</f>
        <v/>
      </c>
    </row>
    <row r="325" spans="6:21">
      <c r="F325" s="908"/>
      <c r="G325" s="917" t="str">
        <f>IF(LEN($F325)&gt;1,_xll.BondInfo($F325,$G$4),"")</f>
        <v/>
      </c>
      <c r="I325" s="899"/>
      <c r="J325" s="655" t="str">
        <f t="array" ref="J325:T325">IF(AND(QueryFlag="ON",NOT(ISNA(I325))),_xll.BondInfo(I325,$J$4:$T$4),"")</f>
        <v/>
      </c>
      <c r="K325" s="656" t="str">
        <v/>
      </c>
      <c r="L325" s="654" t="str">
        <v/>
      </c>
      <c r="M325" s="656" t="str">
        <v/>
      </c>
      <c r="N325" s="656" t="str">
        <v/>
      </c>
      <c r="O325" s="656" t="str">
        <v/>
      </c>
      <c r="P325" s="656" t="str">
        <v/>
      </c>
      <c r="Q325" s="657" t="str">
        <v/>
      </c>
      <c r="R325" s="658" t="str">
        <v/>
      </c>
      <c r="S325" s="655" t="str">
        <v/>
      </c>
      <c r="T325" s="658" t="str">
        <v/>
      </c>
      <c r="U325" s="665" t="str">
        <f>IF(AND(QueryFlag="ON",NOT(ISNA(I325))),_xll.BondOutstanding(I325),"")</f>
        <v/>
      </c>
    </row>
    <row r="326" spans="6:21">
      <c r="F326" s="908"/>
      <c r="G326" s="917" t="str">
        <f>IF(LEN($F326)&gt;1,_xll.BondInfo($F326,$G$4),"")</f>
        <v/>
      </c>
      <c r="I326" s="899"/>
      <c r="J326" s="655" t="str">
        <f t="array" ref="J326:T326">IF(AND(QueryFlag="ON",NOT(ISNA(I326))),_xll.BondInfo(I326,$J$4:$T$4),"")</f>
        <v/>
      </c>
      <c r="K326" s="656" t="str">
        <v/>
      </c>
      <c r="L326" s="654" t="str">
        <v/>
      </c>
      <c r="M326" s="656" t="str">
        <v/>
      </c>
      <c r="N326" s="656" t="str">
        <v/>
      </c>
      <c r="O326" s="656" t="str">
        <v/>
      </c>
      <c r="P326" s="656" t="str">
        <v/>
      </c>
      <c r="Q326" s="657" t="str">
        <v/>
      </c>
      <c r="R326" s="658" t="str">
        <v/>
      </c>
      <c r="S326" s="655" t="str">
        <v/>
      </c>
      <c r="T326" s="658" t="str">
        <v/>
      </c>
      <c r="U326" s="665" t="str">
        <f>IF(AND(QueryFlag="ON",NOT(ISNA(I326))),_xll.BondOutstanding(I326),"")</f>
        <v/>
      </c>
    </row>
    <row r="327" spans="6:21">
      <c r="F327" s="908"/>
      <c r="G327" s="917" t="str">
        <f>IF(LEN($F327)&gt;1,_xll.BondInfo($F327,$G$4),"")</f>
        <v/>
      </c>
      <c r="I327" s="899"/>
      <c r="J327" s="655" t="str">
        <f t="array" ref="J327:T327">IF(AND(QueryFlag="ON",NOT(ISNA(I327))),_xll.BondInfo(I327,$J$4:$T$4),"")</f>
        <v/>
      </c>
      <c r="K327" s="656" t="str">
        <v/>
      </c>
      <c r="L327" s="654" t="str">
        <v/>
      </c>
      <c r="M327" s="656" t="str">
        <v/>
      </c>
      <c r="N327" s="656" t="str">
        <v/>
      </c>
      <c r="O327" s="656" t="str">
        <v/>
      </c>
      <c r="P327" s="656" t="str">
        <v/>
      </c>
      <c r="Q327" s="657" t="str">
        <v/>
      </c>
      <c r="R327" s="658" t="str">
        <v/>
      </c>
      <c r="S327" s="655" t="str">
        <v/>
      </c>
      <c r="T327" s="658" t="str">
        <v/>
      </c>
      <c r="U327" s="665" t="str">
        <f>IF(AND(QueryFlag="ON",NOT(ISNA(I327))),_xll.BondOutstanding(I327),"")</f>
        <v/>
      </c>
    </row>
    <row r="328" spans="6:21">
      <c r="F328" s="908"/>
      <c r="G328" s="917" t="str">
        <f>IF(LEN($F328)&gt;1,_xll.BondInfo($F328,$G$4),"")</f>
        <v/>
      </c>
      <c r="I328" s="899"/>
      <c r="J328" s="655" t="str">
        <f t="array" ref="J328:T328">IF(AND(QueryFlag="ON",NOT(ISNA(I328))),_xll.BondInfo(I328,$J$4:$T$4),"")</f>
        <v/>
      </c>
      <c r="K328" s="656" t="str">
        <v/>
      </c>
      <c r="L328" s="654" t="str">
        <v/>
      </c>
      <c r="M328" s="656" t="str">
        <v/>
      </c>
      <c r="N328" s="656" t="str">
        <v/>
      </c>
      <c r="O328" s="656" t="str">
        <v/>
      </c>
      <c r="P328" s="656" t="str">
        <v/>
      </c>
      <c r="Q328" s="657" t="str">
        <v/>
      </c>
      <c r="R328" s="658" t="str">
        <v/>
      </c>
      <c r="S328" s="655" t="str">
        <v/>
      </c>
      <c r="T328" s="658" t="str">
        <v/>
      </c>
      <c r="U328" s="665" t="str">
        <f>IF(AND(QueryFlag="ON",NOT(ISNA(I328))),_xll.BondOutstanding(I328),"")</f>
        <v/>
      </c>
    </row>
    <row r="329" spans="6:21">
      <c r="F329" s="908"/>
      <c r="G329" s="917" t="str">
        <f>IF(LEN($F329)&gt;1,_xll.BondInfo($F329,$G$4),"")</f>
        <v/>
      </c>
      <c r="I329" s="899"/>
      <c r="J329" s="655" t="str">
        <f t="array" ref="J329:T329">IF(AND(QueryFlag="ON",NOT(ISNA(I329))),_xll.BondInfo(I329,$J$4:$T$4),"")</f>
        <v/>
      </c>
      <c r="K329" s="656" t="str">
        <v/>
      </c>
      <c r="L329" s="654" t="str">
        <v/>
      </c>
      <c r="M329" s="656" t="str">
        <v/>
      </c>
      <c r="N329" s="656" t="str">
        <v/>
      </c>
      <c r="O329" s="656" t="str">
        <v/>
      </c>
      <c r="P329" s="656" t="str">
        <v/>
      </c>
      <c r="Q329" s="657" t="str">
        <v/>
      </c>
      <c r="R329" s="658" t="str">
        <v/>
      </c>
      <c r="S329" s="655" t="str">
        <v/>
      </c>
      <c r="T329" s="658" t="str">
        <v/>
      </c>
      <c r="U329" s="665" t="str">
        <f>IF(AND(QueryFlag="ON",NOT(ISNA(I329))),_xll.BondOutstanding(I329),"")</f>
        <v/>
      </c>
    </row>
    <row r="330" spans="6:21">
      <c r="F330" s="908"/>
      <c r="G330" s="917" t="str">
        <f>IF(LEN($F330)&gt;1,_xll.BondInfo($F330,$G$4),"")</f>
        <v/>
      </c>
      <c r="I330" s="899"/>
      <c r="J330" s="655" t="str">
        <f t="array" ref="J330:T330">IF(AND(QueryFlag="ON",NOT(ISNA(I330))),_xll.BondInfo(I330,$J$4:$T$4),"")</f>
        <v/>
      </c>
      <c r="K330" s="656" t="str">
        <v/>
      </c>
      <c r="L330" s="654" t="str">
        <v/>
      </c>
      <c r="M330" s="656" t="str">
        <v/>
      </c>
      <c r="N330" s="656" t="str">
        <v/>
      </c>
      <c r="O330" s="656" t="str">
        <v/>
      </c>
      <c r="P330" s="656" t="str">
        <v/>
      </c>
      <c r="Q330" s="657" t="str">
        <v/>
      </c>
      <c r="R330" s="658" t="str">
        <v/>
      </c>
      <c r="S330" s="655" t="str">
        <v/>
      </c>
      <c r="T330" s="658" t="str">
        <v/>
      </c>
      <c r="U330" s="665" t="str">
        <f>IF(AND(QueryFlag="ON",NOT(ISNA(I330))),_xll.BondOutstanding(I330),"")</f>
        <v/>
      </c>
    </row>
    <row r="331" spans="6:21">
      <c r="F331" s="908"/>
      <c r="G331" s="917" t="str">
        <f>IF(LEN($F331)&gt;1,_xll.BondInfo($F331,$G$4),"")</f>
        <v/>
      </c>
      <c r="I331" s="899"/>
      <c r="J331" s="655" t="str">
        <f t="array" ref="J331:T331">IF(AND(QueryFlag="ON",NOT(ISNA(I331))),_xll.BondInfo(I331,$J$4:$T$4),"")</f>
        <v/>
      </c>
      <c r="K331" s="656" t="str">
        <v/>
      </c>
      <c r="L331" s="654" t="str">
        <v/>
      </c>
      <c r="M331" s="656" t="str">
        <v/>
      </c>
      <c r="N331" s="656" t="str">
        <v/>
      </c>
      <c r="O331" s="656" t="str">
        <v/>
      </c>
      <c r="P331" s="656" t="str">
        <v/>
      </c>
      <c r="Q331" s="657" t="str">
        <v/>
      </c>
      <c r="R331" s="658" t="str">
        <v/>
      </c>
      <c r="S331" s="655" t="str">
        <v/>
      </c>
      <c r="T331" s="658" t="str">
        <v/>
      </c>
      <c r="U331" s="665" t="str">
        <f>IF(AND(QueryFlag="ON",NOT(ISNA(I331))),_xll.BondOutstanding(I331),"")</f>
        <v/>
      </c>
    </row>
    <row r="332" spans="6:21">
      <c r="F332" s="908"/>
      <c r="G332" s="917" t="str">
        <f>IF(LEN($F332)&gt;1,_xll.BondInfo($F332,$G$4),"")</f>
        <v/>
      </c>
      <c r="I332" s="899"/>
      <c r="J332" s="655" t="str">
        <f t="array" ref="J332:T332">IF(AND(QueryFlag="ON",NOT(ISNA(I332))),_xll.BondInfo(I332,$J$4:$T$4),"")</f>
        <v/>
      </c>
      <c r="K332" s="656" t="str">
        <v/>
      </c>
      <c r="L332" s="654" t="str">
        <v/>
      </c>
      <c r="M332" s="656" t="str">
        <v/>
      </c>
      <c r="N332" s="656" t="str">
        <v/>
      </c>
      <c r="O332" s="656" t="str">
        <v/>
      </c>
      <c r="P332" s="656" t="str">
        <v/>
      </c>
      <c r="Q332" s="657" t="str">
        <v/>
      </c>
      <c r="R332" s="658" t="str">
        <v/>
      </c>
      <c r="S332" s="655" t="str">
        <v/>
      </c>
      <c r="T332" s="658" t="str">
        <v/>
      </c>
      <c r="U332" s="665" t="str">
        <f>IF(AND(QueryFlag="ON",NOT(ISNA(I332))),_xll.BondOutstanding(I332),"")</f>
        <v/>
      </c>
    </row>
    <row r="333" spans="6:21">
      <c r="F333" s="908"/>
      <c r="G333" s="917" t="str">
        <f>IF(LEN($F333)&gt;1,_xll.BondInfo($F333,$G$4),"")</f>
        <v/>
      </c>
      <c r="I333" s="899"/>
      <c r="J333" s="655" t="str">
        <f t="array" ref="J333:T333">IF(AND(QueryFlag="ON",NOT(ISNA(I333))),_xll.BondInfo(I333,$J$4:$T$4),"")</f>
        <v/>
      </c>
      <c r="K333" s="656" t="str">
        <v/>
      </c>
      <c r="L333" s="654" t="str">
        <v/>
      </c>
      <c r="M333" s="656" t="str">
        <v/>
      </c>
      <c r="N333" s="656" t="str">
        <v/>
      </c>
      <c r="O333" s="656" t="str">
        <v/>
      </c>
      <c r="P333" s="656" t="str">
        <v/>
      </c>
      <c r="Q333" s="657" t="str">
        <v/>
      </c>
      <c r="R333" s="658" t="str">
        <v/>
      </c>
      <c r="S333" s="655" t="str">
        <v/>
      </c>
      <c r="T333" s="658" t="str">
        <v/>
      </c>
      <c r="U333" s="665" t="str">
        <f>IF(AND(QueryFlag="ON",NOT(ISNA(I333))),_xll.BondOutstanding(I333),"")</f>
        <v/>
      </c>
    </row>
    <row r="334" spans="6:21">
      <c r="F334" s="908"/>
      <c r="G334" s="917" t="str">
        <f>IF(LEN($F334)&gt;1,_xll.BondInfo($F334,$G$4),"")</f>
        <v/>
      </c>
      <c r="I334" s="899"/>
      <c r="J334" s="655" t="str">
        <f t="array" ref="J334:T334">IF(AND(QueryFlag="ON",NOT(ISNA(I334))),_xll.BondInfo(I334,$J$4:$T$4),"")</f>
        <v/>
      </c>
      <c r="K334" s="656" t="str">
        <v/>
      </c>
      <c r="L334" s="654" t="str">
        <v/>
      </c>
      <c r="M334" s="656" t="str">
        <v/>
      </c>
      <c r="N334" s="656" t="str">
        <v/>
      </c>
      <c r="O334" s="656" t="str">
        <v/>
      </c>
      <c r="P334" s="656" t="str">
        <v/>
      </c>
      <c r="Q334" s="657" t="str">
        <v/>
      </c>
      <c r="R334" s="658" t="str">
        <v/>
      </c>
      <c r="S334" s="655" t="str">
        <v/>
      </c>
      <c r="T334" s="658" t="str">
        <v/>
      </c>
      <c r="U334" s="665" t="str">
        <f>IF(AND(QueryFlag="ON",NOT(ISNA(I334))),_xll.BondOutstanding(I334),"")</f>
        <v/>
      </c>
    </row>
    <row r="335" spans="6:21">
      <c r="F335" s="908"/>
      <c r="G335" s="917" t="str">
        <f>IF(LEN($F335)&gt;1,_xll.BondInfo($F335,$G$4),"")</f>
        <v/>
      </c>
      <c r="I335" s="899"/>
      <c r="J335" s="655" t="str">
        <f t="array" ref="J335:T335">IF(AND(QueryFlag="ON",NOT(ISNA(I335))),_xll.BondInfo(I335,$J$4:$T$4),"")</f>
        <v/>
      </c>
      <c r="K335" s="656" t="str">
        <v/>
      </c>
      <c r="L335" s="654" t="str">
        <v/>
      </c>
      <c r="M335" s="656" t="str">
        <v/>
      </c>
      <c r="N335" s="656" t="str">
        <v/>
      </c>
      <c r="O335" s="656" t="str">
        <v/>
      </c>
      <c r="P335" s="656" t="str">
        <v/>
      </c>
      <c r="Q335" s="657" t="str">
        <v/>
      </c>
      <c r="R335" s="658" t="str">
        <v/>
      </c>
      <c r="S335" s="655" t="str">
        <v/>
      </c>
      <c r="T335" s="658" t="str">
        <v/>
      </c>
      <c r="U335" s="665" t="str">
        <f>IF(AND(QueryFlag="ON",NOT(ISNA(I335))),_xll.BondOutstanding(I335),"")</f>
        <v/>
      </c>
    </row>
    <row r="336" spans="6:21">
      <c r="F336" s="908"/>
      <c r="G336" s="917" t="str">
        <f>IF(LEN($F336)&gt;1,_xll.BondInfo($F336,$G$4),"")</f>
        <v/>
      </c>
      <c r="I336" s="899"/>
      <c r="J336" s="655" t="str">
        <f t="array" ref="J336:T336">IF(AND(QueryFlag="ON",NOT(ISNA(I336))),_xll.BondInfo(I336,$J$4:$T$4),"")</f>
        <v/>
      </c>
      <c r="K336" s="656" t="str">
        <v/>
      </c>
      <c r="L336" s="654" t="str">
        <v/>
      </c>
      <c r="M336" s="656" t="str">
        <v/>
      </c>
      <c r="N336" s="656" t="str">
        <v/>
      </c>
      <c r="O336" s="656" t="str">
        <v/>
      </c>
      <c r="P336" s="656" t="str">
        <v/>
      </c>
      <c r="Q336" s="657" t="str">
        <v/>
      </c>
      <c r="R336" s="658" t="str">
        <v/>
      </c>
      <c r="S336" s="655" t="str">
        <v/>
      </c>
      <c r="T336" s="658" t="str">
        <v/>
      </c>
      <c r="U336" s="665" t="str">
        <f>IF(AND(QueryFlag="ON",NOT(ISNA(I336))),_xll.BondOutstanding(I336),"")</f>
        <v/>
      </c>
    </row>
    <row r="337" spans="6:21">
      <c r="F337" s="908"/>
      <c r="G337" s="917" t="str">
        <f>IF(LEN($F337)&gt;1,_xll.BondInfo($F337,$G$4),"")</f>
        <v/>
      </c>
      <c r="I337" s="899"/>
      <c r="J337" s="655" t="str">
        <f t="array" ref="J337:T337">IF(AND(QueryFlag="ON",NOT(ISNA(I337))),_xll.BondInfo(I337,$J$4:$T$4),"")</f>
        <v/>
      </c>
      <c r="K337" s="656" t="str">
        <v/>
      </c>
      <c r="L337" s="654" t="str">
        <v/>
      </c>
      <c r="M337" s="656" t="str">
        <v/>
      </c>
      <c r="N337" s="656" t="str">
        <v/>
      </c>
      <c r="O337" s="656" t="str">
        <v/>
      </c>
      <c r="P337" s="656" t="str">
        <v/>
      </c>
      <c r="Q337" s="657" t="str">
        <v/>
      </c>
      <c r="R337" s="658" t="str">
        <v/>
      </c>
      <c r="S337" s="655" t="str">
        <v/>
      </c>
      <c r="T337" s="658" t="str">
        <v/>
      </c>
      <c r="U337" s="665" t="str">
        <f>IF(AND(QueryFlag="ON",NOT(ISNA(I337))),_xll.BondOutstanding(I337),"")</f>
        <v/>
      </c>
    </row>
    <row r="338" spans="6:21">
      <c r="F338" s="908"/>
      <c r="G338" s="917" t="str">
        <f>IF(LEN($F338)&gt;1,_xll.BondInfo($F338,$G$4),"")</f>
        <v/>
      </c>
      <c r="I338" s="899"/>
      <c r="J338" s="655" t="str">
        <f t="array" ref="J338:T338">IF(AND(QueryFlag="ON",NOT(ISNA(I338))),_xll.BondInfo(I338,$J$4:$T$4),"")</f>
        <v/>
      </c>
      <c r="K338" s="656" t="str">
        <v/>
      </c>
      <c r="L338" s="654" t="str">
        <v/>
      </c>
      <c r="M338" s="656" t="str">
        <v/>
      </c>
      <c r="N338" s="656" t="str">
        <v/>
      </c>
      <c r="O338" s="656" t="str">
        <v/>
      </c>
      <c r="P338" s="656" t="str">
        <v/>
      </c>
      <c r="Q338" s="657" t="str">
        <v/>
      </c>
      <c r="R338" s="658" t="str">
        <v/>
      </c>
      <c r="S338" s="655" t="str">
        <v/>
      </c>
      <c r="T338" s="658" t="str">
        <v/>
      </c>
      <c r="U338" s="665" t="str">
        <f>IF(AND(QueryFlag="ON",NOT(ISNA(I338))),_xll.BondOutstanding(I338),"")</f>
        <v/>
      </c>
    </row>
    <row r="339" spans="6:21">
      <c r="F339" s="908"/>
      <c r="G339" s="917" t="str">
        <f>IF(LEN($F339)&gt;1,_xll.BondInfo($F339,$G$4),"")</f>
        <v/>
      </c>
      <c r="I339" s="899"/>
      <c r="J339" s="655" t="str">
        <f t="array" ref="J339:T339">IF(AND(QueryFlag="ON",NOT(ISNA(I339))),_xll.BondInfo(I339,$J$4:$T$4),"")</f>
        <v/>
      </c>
      <c r="K339" s="656" t="str">
        <v/>
      </c>
      <c r="L339" s="654" t="str">
        <v/>
      </c>
      <c r="M339" s="656" t="str">
        <v/>
      </c>
      <c r="N339" s="656" t="str">
        <v/>
      </c>
      <c r="O339" s="656" t="str">
        <v/>
      </c>
      <c r="P339" s="656" t="str">
        <v/>
      </c>
      <c r="Q339" s="657" t="str">
        <v/>
      </c>
      <c r="R339" s="658" t="str">
        <v/>
      </c>
      <c r="S339" s="655" t="str">
        <v/>
      </c>
      <c r="T339" s="658" t="str">
        <v/>
      </c>
      <c r="U339" s="665" t="str">
        <f>IF(AND(QueryFlag="ON",NOT(ISNA(I339))),_xll.BondOutstanding(I339),"")</f>
        <v/>
      </c>
    </row>
    <row r="340" spans="6:21">
      <c r="F340" s="908"/>
      <c r="G340" s="917" t="str">
        <f>IF(LEN($F340)&gt;1,_xll.BondInfo($F340,$G$4),"")</f>
        <v/>
      </c>
      <c r="I340" s="899"/>
      <c r="J340" s="655" t="str">
        <f t="array" ref="J340:T340">IF(AND(QueryFlag="ON",NOT(ISNA(I340))),_xll.BondInfo(I340,$J$4:$T$4),"")</f>
        <v/>
      </c>
      <c r="K340" s="656" t="str">
        <v/>
      </c>
      <c r="L340" s="654" t="str">
        <v/>
      </c>
      <c r="M340" s="656" t="str">
        <v/>
      </c>
      <c r="N340" s="656" t="str">
        <v/>
      </c>
      <c r="O340" s="656" t="str">
        <v/>
      </c>
      <c r="P340" s="656" t="str">
        <v/>
      </c>
      <c r="Q340" s="657" t="str">
        <v/>
      </c>
      <c r="R340" s="658" t="str">
        <v/>
      </c>
      <c r="S340" s="655" t="str">
        <v/>
      </c>
      <c r="T340" s="658" t="str">
        <v/>
      </c>
      <c r="U340" s="665" t="str">
        <f>IF(AND(QueryFlag="ON",NOT(ISNA(I340))),_xll.BondOutstanding(I340),"")</f>
        <v/>
      </c>
    </row>
    <row r="341" spans="6:21">
      <c r="F341" s="908"/>
      <c r="G341" s="917" t="str">
        <f>IF(LEN($F341)&gt;1,_xll.BondInfo($F341,$G$4),"")</f>
        <v/>
      </c>
      <c r="I341" s="899"/>
      <c r="J341" s="655" t="str">
        <f t="array" ref="J341:T341">IF(AND(QueryFlag="ON",NOT(ISNA(I341))),_xll.BondInfo(I341,$J$4:$T$4),"")</f>
        <v/>
      </c>
      <c r="K341" s="656" t="str">
        <v/>
      </c>
      <c r="L341" s="654" t="str">
        <v/>
      </c>
      <c r="M341" s="656" t="str">
        <v/>
      </c>
      <c r="N341" s="656" t="str">
        <v/>
      </c>
      <c r="O341" s="656" t="str">
        <v/>
      </c>
      <c r="P341" s="656" t="str">
        <v/>
      </c>
      <c r="Q341" s="657" t="str">
        <v/>
      </c>
      <c r="R341" s="658" t="str">
        <v/>
      </c>
      <c r="S341" s="655" t="str">
        <v/>
      </c>
      <c r="T341" s="658" t="str">
        <v/>
      </c>
      <c r="U341" s="665" t="str">
        <f>IF(AND(QueryFlag="ON",NOT(ISNA(I341))),_xll.BondOutstanding(I341),"")</f>
        <v/>
      </c>
    </row>
    <row r="342" spans="6:21">
      <c r="F342" s="908"/>
      <c r="G342" s="917" t="str">
        <f>IF(LEN($F342)&gt;1,_xll.BondInfo($F342,$G$4),"")</f>
        <v/>
      </c>
      <c r="I342" s="899"/>
      <c r="J342" s="655" t="str">
        <f t="array" ref="J342:T342">IF(AND(QueryFlag="ON",NOT(ISNA(I342))),_xll.BondInfo(I342,$J$4:$T$4),"")</f>
        <v/>
      </c>
      <c r="K342" s="656" t="str">
        <v/>
      </c>
      <c r="L342" s="654" t="str">
        <v/>
      </c>
      <c r="M342" s="656" t="str">
        <v/>
      </c>
      <c r="N342" s="656" t="str">
        <v/>
      </c>
      <c r="O342" s="656" t="str">
        <v/>
      </c>
      <c r="P342" s="656" t="str">
        <v/>
      </c>
      <c r="Q342" s="657" t="str">
        <v/>
      </c>
      <c r="R342" s="658" t="str">
        <v/>
      </c>
      <c r="S342" s="655" t="str">
        <v/>
      </c>
      <c r="T342" s="658" t="str">
        <v/>
      </c>
      <c r="U342" s="665" t="str">
        <f>IF(AND(QueryFlag="ON",NOT(ISNA(I342))),_xll.BondOutstanding(I342),"")</f>
        <v/>
      </c>
    </row>
    <row r="343" spans="6:21">
      <c r="F343" s="908"/>
      <c r="G343" s="917" t="str">
        <f>IF(LEN($F343)&gt;1,_xll.BondInfo($F343,$G$4),"")</f>
        <v/>
      </c>
      <c r="I343" s="899"/>
      <c r="J343" s="655" t="str">
        <f t="array" ref="J343:T343">IF(AND(QueryFlag="ON",NOT(ISNA(I343))),_xll.BondInfo(I343,$J$4:$T$4),"")</f>
        <v/>
      </c>
      <c r="K343" s="656" t="str">
        <v/>
      </c>
      <c r="L343" s="654" t="str">
        <v/>
      </c>
      <c r="M343" s="656" t="str">
        <v/>
      </c>
      <c r="N343" s="656" t="str">
        <v/>
      </c>
      <c r="O343" s="656" t="str">
        <v/>
      </c>
      <c r="P343" s="656" t="str">
        <v/>
      </c>
      <c r="Q343" s="657" t="str">
        <v/>
      </c>
      <c r="R343" s="658" t="str">
        <v/>
      </c>
      <c r="S343" s="655" t="str">
        <v/>
      </c>
      <c r="T343" s="658" t="str">
        <v/>
      </c>
      <c r="U343" s="665" t="str">
        <f>IF(AND(QueryFlag="ON",NOT(ISNA(I343))),_xll.BondOutstanding(I343),"")</f>
        <v/>
      </c>
    </row>
    <row r="344" spans="6:21">
      <c r="F344" s="908"/>
      <c r="G344" s="917" t="str">
        <f>IF(LEN($F344)&gt;1,_xll.BondInfo($F344,$G$4),"")</f>
        <v/>
      </c>
      <c r="I344" s="899"/>
      <c r="J344" s="655" t="str">
        <f t="array" ref="J344:T344">IF(AND(QueryFlag="ON",NOT(ISNA(I344))),_xll.BondInfo(I344,$J$4:$T$4),"")</f>
        <v/>
      </c>
      <c r="K344" s="656" t="str">
        <v/>
      </c>
      <c r="L344" s="654" t="str">
        <v/>
      </c>
      <c r="M344" s="656" t="str">
        <v/>
      </c>
      <c r="N344" s="656" t="str">
        <v/>
      </c>
      <c r="O344" s="656" t="str">
        <v/>
      </c>
      <c r="P344" s="656" t="str">
        <v/>
      </c>
      <c r="Q344" s="657" t="str">
        <v/>
      </c>
      <c r="R344" s="658" t="str">
        <v/>
      </c>
      <c r="S344" s="655" t="str">
        <v/>
      </c>
      <c r="T344" s="658" t="str">
        <v/>
      </c>
      <c r="U344" s="665" t="str">
        <f>IF(AND(QueryFlag="ON",NOT(ISNA(I344))),_xll.BondOutstanding(I344),"")</f>
        <v/>
      </c>
    </row>
    <row r="345" spans="6:21">
      <c r="F345" s="908"/>
      <c r="G345" s="917" t="str">
        <f>IF(LEN($F345)&gt;1,_xll.BondInfo($F345,$G$4),"")</f>
        <v/>
      </c>
      <c r="I345" s="899"/>
      <c r="J345" s="655" t="str">
        <f t="array" ref="J345:T345">IF(AND(QueryFlag="ON",NOT(ISNA(I345))),_xll.BondInfo(I345,$J$4:$T$4),"")</f>
        <v/>
      </c>
      <c r="K345" s="656" t="str">
        <v/>
      </c>
      <c r="L345" s="654" t="str">
        <v/>
      </c>
      <c r="M345" s="656" t="str">
        <v/>
      </c>
      <c r="N345" s="656" t="str">
        <v/>
      </c>
      <c r="O345" s="656" t="str">
        <v/>
      </c>
      <c r="P345" s="656" t="str">
        <v/>
      </c>
      <c r="Q345" s="657" t="str">
        <v/>
      </c>
      <c r="R345" s="658" t="str">
        <v/>
      </c>
      <c r="S345" s="655" t="str">
        <v/>
      </c>
      <c r="T345" s="658" t="str">
        <v/>
      </c>
      <c r="U345" s="665" t="str">
        <f>IF(AND(QueryFlag="ON",NOT(ISNA(I345))),_xll.BondOutstanding(I345),"")</f>
        <v/>
      </c>
    </row>
    <row r="346" spans="6:21">
      <c r="F346" s="908"/>
      <c r="G346" s="917" t="str">
        <f>IF(LEN($F346)&gt;1,_xll.BondInfo($F346,$G$4),"")</f>
        <v/>
      </c>
      <c r="I346" s="899"/>
      <c r="J346" s="655" t="str">
        <f t="array" ref="J346:T346">IF(AND(QueryFlag="ON",NOT(ISNA(I346))),_xll.BondInfo(I346,$J$4:$T$4),"")</f>
        <v/>
      </c>
      <c r="K346" s="656" t="str">
        <v/>
      </c>
      <c r="L346" s="654" t="str">
        <v/>
      </c>
      <c r="M346" s="656" t="str">
        <v/>
      </c>
      <c r="N346" s="656" t="str">
        <v/>
      </c>
      <c r="O346" s="656" t="str">
        <v/>
      </c>
      <c r="P346" s="656" t="str">
        <v/>
      </c>
      <c r="Q346" s="657" t="str">
        <v/>
      </c>
      <c r="R346" s="658" t="str">
        <v/>
      </c>
      <c r="S346" s="655" t="str">
        <v/>
      </c>
      <c r="T346" s="658" t="str">
        <v/>
      </c>
      <c r="U346" s="665" t="str">
        <f>IF(AND(QueryFlag="ON",NOT(ISNA(I346))),_xll.BondOutstanding(I346),"")</f>
        <v/>
      </c>
    </row>
    <row r="347" spans="6:21">
      <c r="F347" s="908"/>
      <c r="G347" s="917" t="str">
        <f>IF(LEN($F347)&gt;1,_xll.BondInfo($F347,$G$4),"")</f>
        <v/>
      </c>
      <c r="I347" s="899"/>
      <c r="J347" s="655" t="str">
        <f t="array" ref="J347:T347">IF(AND(QueryFlag="ON",NOT(ISNA(I347))),_xll.BondInfo(I347,$J$4:$T$4),"")</f>
        <v/>
      </c>
      <c r="K347" s="656" t="str">
        <v/>
      </c>
      <c r="L347" s="654" t="str">
        <v/>
      </c>
      <c r="M347" s="656" t="str">
        <v/>
      </c>
      <c r="N347" s="656" t="str">
        <v/>
      </c>
      <c r="O347" s="656" t="str">
        <v/>
      </c>
      <c r="P347" s="656" t="str">
        <v/>
      </c>
      <c r="Q347" s="657" t="str">
        <v/>
      </c>
      <c r="R347" s="658" t="str">
        <v/>
      </c>
      <c r="S347" s="655" t="str">
        <v/>
      </c>
      <c r="T347" s="658" t="str">
        <v/>
      </c>
      <c r="U347" s="665" t="str">
        <f>IF(AND(QueryFlag="ON",NOT(ISNA(I347))),_xll.BondOutstanding(I347),"")</f>
        <v/>
      </c>
    </row>
    <row r="348" spans="6:21">
      <c r="F348" s="908"/>
      <c r="G348" s="917" t="str">
        <f>IF(LEN($F348)&gt;1,_xll.BondInfo($F348,$G$4),"")</f>
        <v/>
      </c>
      <c r="I348" s="899"/>
      <c r="J348" s="655" t="str">
        <f t="array" ref="J348:T348">IF(AND(QueryFlag="ON",NOT(ISNA(I348))),_xll.BondInfo(I348,$J$4:$T$4),"")</f>
        <v/>
      </c>
      <c r="K348" s="656" t="str">
        <v/>
      </c>
      <c r="L348" s="654" t="str">
        <v/>
      </c>
      <c r="M348" s="656" t="str">
        <v/>
      </c>
      <c r="N348" s="656" t="str">
        <v/>
      </c>
      <c r="O348" s="656" t="str">
        <v/>
      </c>
      <c r="P348" s="656" t="str">
        <v/>
      </c>
      <c r="Q348" s="657" t="str">
        <v/>
      </c>
      <c r="R348" s="658" t="str">
        <v/>
      </c>
      <c r="S348" s="655" t="str">
        <v/>
      </c>
      <c r="T348" s="658" t="str">
        <v/>
      </c>
      <c r="U348" s="665" t="str">
        <f>IF(AND(QueryFlag="ON",NOT(ISNA(I348))),_xll.BondOutstanding(I348),"")</f>
        <v/>
      </c>
    </row>
    <row r="349" spans="6:21">
      <c r="F349" s="908"/>
      <c r="G349" s="917" t="str">
        <f>IF(LEN($F349)&gt;1,_xll.BondInfo($F349,$G$4),"")</f>
        <v/>
      </c>
      <c r="I349" s="899"/>
      <c r="J349" s="655" t="str">
        <f t="array" ref="J349:T349">IF(AND(QueryFlag="ON",NOT(ISNA(I349))),_xll.BondInfo(I349,$J$4:$T$4),"")</f>
        <v/>
      </c>
      <c r="K349" s="656" t="str">
        <v/>
      </c>
      <c r="L349" s="654" t="str">
        <v/>
      </c>
      <c r="M349" s="656" t="str">
        <v/>
      </c>
      <c r="N349" s="656" t="str">
        <v/>
      </c>
      <c r="O349" s="656" t="str">
        <v/>
      </c>
      <c r="P349" s="656" t="str">
        <v/>
      </c>
      <c r="Q349" s="657" t="str">
        <v/>
      </c>
      <c r="R349" s="658" t="str">
        <v/>
      </c>
      <c r="S349" s="655" t="str">
        <v/>
      </c>
      <c r="T349" s="658" t="str">
        <v/>
      </c>
      <c r="U349" s="665" t="str">
        <f>IF(AND(QueryFlag="ON",NOT(ISNA(I349))),_xll.BondOutstanding(I349),"")</f>
        <v/>
      </c>
    </row>
    <row r="350" spans="6:21" ht="13.5" thickBot="1">
      <c r="F350" s="909"/>
      <c r="G350" s="918"/>
      <c r="I350" s="900"/>
      <c r="J350" s="670" t="str">
        <f t="array" ref="J350:T350">IF(AND(QueryFlag="ON",NOT(ISNA(I350))),_xll.BondInfo(I350,$J$4:$T$4),"")</f>
        <v/>
      </c>
      <c r="K350" s="666" t="str">
        <v/>
      </c>
      <c r="L350" s="667" t="str">
        <v/>
      </c>
      <c r="M350" s="666" t="str">
        <v/>
      </c>
      <c r="N350" s="666" t="str">
        <v/>
      </c>
      <c r="O350" s="666" t="str">
        <v/>
      </c>
      <c r="P350" s="666" t="str">
        <v/>
      </c>
      <c r="Q350" s="668" t="str">
        <v/>
      </c>
      <c r="R350" s="669" t="str">
        <v/>
      </c>
      <c r="S350" s="670" t="str">
        <v/>
      </c>
      <c r="T350" s="669" t="str">
        <v/>
      </c>
      <c r="U350" s="671" t="str">
        <f>IF(AND(QueryFlag="ON",NOT(ISNA(I350))),_xll.BondOutstanding(I350),"")</f>
        <v/>
      </c>
    </row>
  </sheetData>
  <conditionalFormatting sqref="C3:D3">
    <cfRule type="containsText" dxfId="2" priority="1" operator="containsText" text="OFF">
      <formula>NOT(ISERROR(SEARCH("OFF",C3)))</formula>
    </cfRule>
    <cfRule type="containsText" dxfId="1" priority="2" operator="containsText" text="ON">
      <formula>NOT(ISERROR(SEARCH("ON",C3)))</formula>
    </cfRule>
  </conditionalFormatting>
  <dataValidations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ERR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2018-03-16T12:51:26Z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