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F_Gies_UIUC\Spring 2023\Derivatives\Assignments\Project 1\"/>
    </mc:Choice>
  </mc:AlternateContent>
  <xr:revisionPtr revIDLastSave="0" documentId="13_ncr:1_{E6DB3ACD-48CF-4744-B97B-50AF3A34BDE3}" xr6:coauthVersionLast="47" xr6:coauthVersionMax="47" xr10:uidLastSave="{00000000-0000-0000-0000-000000000000}"/>
  <bookViews>
    <workbookView xWindow="-108" yWindow="-108" windowWidth="23256" windowHeight="12576" activeTab="1" xr2:uid="{BAB5FDF1-84C3-4532-92FE-8161F45772EB}"/>
  </bookViews>
  <sheets>
    <sheet name="Bloomberg" sheetId="2" r:id="rId1"/>
    <sheet name="Sheet1" sheetId="1" r:id="rId2"/>
  </sheets>
  <externalReferences>
    <externalReference r:id="rId3"/>
  </externalReferences>
  <definedNames>
    <definedName name="Asset_Price">[1]Valuation!$B$15</definedName>
    <definedName name="d">#REF!</definedName>
    <definedName name="d_1">#REF!</definedName>
    <definedName name="d_2">#REF!</definedName>
    <definedName name="deltaT">#REF!</definedName>
    <definedName name="df">#REF!</definedName>
    <definedName name="discount_factor">[1]Valuation!$B$19</definedName>
    <definedName name="dividend">[1]Valuation!$B$18</definedName>
    <definedName name="Implied_volatility__sigma">#REF!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NAMES_REVISION_DATE_" hidden="1">"01/01/0001 00:00:00"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ln_S_K">#REF!</definedName>
    <definedName name="N__d1___or__N_d1">#REF!</definedName>
    <definedName name="N__d2___or__N_d2">#REF!</definedName>
    <definedName name="r_d">#REF!</definedName>
    <definedName name="Rate">#REF!</definedName>
    <definedName name="Risk_free_rate">[1]Valuation!$B$16</definedName>
    <definedName name="risk_neutral_df_t0t2">[1]Valuation!$B$14</definedName>
    <definedName name="S">#REF!</definedName>
    <definedName name="sigma_sq___2">#REF!</definedName>
    <definedName name="sigma_sqrt_T_t">#REF!</definedName>
    <definedName name="t_0">#REF!</definedName>
    <definedName name="t_1">#REF!</definedName>
    <definedName name="t_2">#REF!</definedName>
    <definedName name="t_3">#REF!</definedName>
    <definedName name="time_in_years">[1]Valuation!$B$17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/>
  <c r="C24" i="1"/>
  <c r="C25" i="1" s="1"/>
  <c r="C26" i="1" s="1"/>
  <c r="C27" i="1" s="1"/>
  <c r="G12" i="2"/>
  <c r="H12" i="2"/>
  <c r="I12" i="2" s="1"/>
  <c r="J12" i="2"/>
  <c r="K12" i="2" s="1"/>
  <c r="L12" i="2" l="1"/>
  <c r="M12" i="2" s="1"/>
  <c r="D16" i="1" s="1"/>
  <c r="J11" i="2"/>
  <c r="K11" i="2" s="1"/>
  <c r="G11" i="2"/>
  <c r="H11" i="2"/>
  <c r="K8" i="2"/>
  <c r="H8" i="2"/>
  <c r="I8" i="2" s="1"/>
  <c r="L8" i="2" s="1"/>
  <c r="M8" i="2" s="1"/>
  <c r="G8" i="2"/>
  <c r="K7" i="2"/>
  <c r="H7" i="2"/>
  <c r="G7" i="2"/>
  <c r="I7" i="2" s="1"/>
  <c r="L7" i="2" s="1"/>
  <c r="M7" i="2" s="1"/>
  <c r="K6" i="2"/>
  <c r="I6" i="2"/>
  <c r="L6" i="2" s="1"/>
  <c r="M6" i="2" s="1"/>
  <c r="H6" i="2"/>
  <c r="G6" i="2"/>
  <c r="K5" i="2"/>
  <c r="H5" i="2"/>
  <c r="I5" i="2" s="1"/>
  <c r="L5" i="2" s="1"/>
  <c r="M5" i="2" s="1"/>
  <c r="G5" i="2"/>
  <c r="K4" i="2"/>
  <c r="H4" i="2"/>
  <c r="I4" i="2" s="1"/>
  <c r="L4" i="2" s="1"/>
  <c r="M4" i="2" s="1"/>
  <c r="G4" i="2"/>
  <c r="K3" i="2"/>
  <c r="H3" i="2"/>
  <c r="G3" i="2"/>
  <c r="I3" i="2" s="1"/>
  <c r="L3" i="2" s="1"/>
  <c r="M3" i="2" s="1"/>
  <c r="I11" i="2" l="1"/>
  <c r="L11" i="2"/>
  <c r="M11" i="2" s="1"/>
  <c r="D15" i="1" s="1"/>
  <c r="O12" i="2" l="1"/>
  <c r="E5" i="1"/>
  <c r="E4" i="1"/>
  <c r="E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" i="1"/>
  <c r="D4" i="1"/>
  <c r="D5" i="1"/>
  <c r="C16" i="1" s="1"/>
  <c r="D3" i="1"/>
  <c r="C8" i="1"/>
  <c r="C9" i="1" s="1"/>
  <c r="C11" i="1"/>
  <c r="C12" i="1" s="1"/>
  <c r="C15" i="1" l="1"/>
</calcChain>
</file>

<file path=xl/sharedStrings.xml><?xml version="1.0" encoding="utf-8"?>
<sst xmlns="http://schemas.openxmlformats.org/spreadsheetml/2006/main" count="63" uniqueCount="59">
  <si>
    <t>Initial value</t>
  </si>
  <si>
    <t>Coupon Barrier</t>
  </si>
  <si>
    <t>Downside threshold</t>
  </si>
  <si>
    <t>Coupon rate per annum</t>
  </si>
  <si>
    <t>Principal Amount</t>
  </si>
  <si>
    <t>Observation Dates</t>
  </si>
  <si>
    <t>Coupon Payment Dates</t>
  </si>
  <si>
    <t>Final Valuation Date</t>
  </si>
  <si>
    <t>Maturity Date</t>
  </si>
  <si>
    <t>Trade Date</t>
  </si>
  <si>
    <t>Settlement Date</t>
  </si>
  <si>
    <t>r1</t>
  </si>
  <si>
    <t>r2</t>
  </si>
  <si>
    <t>Strike</t>
  </si>
  <si>
    <t>x1</t>
  </si>
  <si>
    <t>y1</t>
  </si>
  <si>
    <t>x2</t>
  </si>
  <si>
    <t>y2</t>
  </si>
  <si>
    <t>x2-x1</t>
  </si>
  <si>
    <t>y2-y1</t>
  </si>
  <si>
    <t>m</t>
  </si>
  <si>
    <t>x3</t>
  </si>
  <si>
    <t>x3-x1</t>
  </si>
  <si>
    <t>y3-y1</t>
  </si>
  <si>
    <t>Volatility</t>
  </si>
  <si>
    <t>Option</t>
  </si>
  <si>
    <t>Buy at K_1</t>
  </si>
  <si>
    <t>Sell at K_1</t>
  </si>
  <si>
    <t>Buy at K_2</t>
  </si>
  <si>
    <t>Sell at K_2</t>
  </si>
  <si>
    <t>Buy at K_3</t>
  </si>
  <si>
    <t>Sell at K_3</t>
  </si>
  <si>
    <t>NA</t>
  </si>
  <si>
    <t>exp(r)(t1+t2) = exp(r1)(t1) X exp(r2)(t2)</t>
  </si>
  <si>
    <t>rate</t>
  </si>
  <si>
    <t>dividend annual</t>
  </si>
  <si>
    <t>assumption</t>
  </si>
  <si>
    <t>Dividends are distributed bi annually</t>
  </si>
  <si>
    <t>Days</t>
  </si>
  <si>
    <t>Time (Yrs)</t>
  </si>
  <si>
    <t>Discount factor</t>
  </si>
  <si>
    <t>risk neutral rate (r1)</t>
  </si>
  <si>
    <t>risk free rate (r2)</t>
  </si>
  <si>
    <t>Dividend ditribution days</t>
  </si>
  <si>
    <t>Number of dividends</t>
  </si>
  <si>
    <t>monthly coupon rate</t>
  </si>
  <si>
    <t>Coupon dollar amount</t>
  </si>
  <si>
    <t>N</t>
  </si>
  <si>
    <t>S0</t>
  </si>
  <si>
    <t>Face</t>
  </si>
  <si>
    <t>ratio</t>
  </si>
  <si>
    <t>sigma</t>
  </si>
  <si>
    <t>T</t>
  </si>
  <si>
    <t>cpn</t>
  </si>
  <si>
    <t>nc</t>
  </si>
  <si>
    <t>tco</t>
  </si>
  <si>
    <t>tac</t>
  </si>
  <si>
    <t>DIV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</si>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</sst>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3" formatCode="_(* #,##0.00_);_(* \(#,##0.00\);_(* &quot;-&quot;??_);_(@_)"/>
    <numFmt numFmtId="164" formatCode="&quot;$&quot;#,##0.0000_);[Red]\(&quot;$&quot;#,##0.0000\)"/>
    <numFmt numFmtId="165" formatCode="0.000"/>
    <numFmt numFmtId="166" formatCode="0.000%"/>
    <numFmt numFmtId="167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15" fontId="0" fillId="0" borderId="0" xfId="0" applyNumberFormat="1"/>
    <xf numFmtId="14" fontId="0" fillId="0" borderId="0" xfId="0" applyNumberFormat="1"/>
    <xf numFmtId="8" fontId="0" fillId="0" borderId="0" xfId="0" applyNumberForma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5" fontId="0" fillId="2" borderId="0" xfId="0" applyNumberFormat="1" applyFill="1"/>
    <xf numFmtId="16" fontId="0" fillId="2" borderId="0" xfId="0" applyNumberFormat="1" applyFill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center"/>
    </xf>
    <xf numFmtId="43" fontId="4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right"/>
    </xf>
    <xf numFmtId="43" fontId="5" fillId="0" borderId="0" xfId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3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43" fontId="0" fillId="0" borderId="0" xfId="1" applyFont="1" applyAlignment="1">
      <alignment horizontal="right" vertical="top"/>
    </xf>
    <xf numFmtId="166" fontId="5" fillId="3" borderId="0" xfId="0" applyNumberFormat="1" applyFont="1" applyFill="1" applyAlignment="1">
      <alignment horizontal="right" vertical="top"/>
    </xf>
    <xf numFmtId="9" fontId="2" fillId="0" borderId="0" xfId="0" applyNumberFormat="1" applyFont="1" applyAlignment="1">
      <alignment vertical="top"/>
    </xf>
    <xf numFmtId="43" fontId="2" fillId="0" borderId="0" xfId="0" applyNumberFormat="1" applyFont="1" applyAlignment="1">
      <alignment vertical="top"/>
    </xf>
    <xf numFmtId="14" fontId="5" fillId="0" borderId="0" xfId="0" applyNumberFormat="1" applyFont="1" applyAlignment="1">
      <alignment horizontal="right" vertical="top"/>
    </xf>
    <xf numFmtId="0" fontId="5" fillId="3" borderId="0" xfId="0" applyFont="1" applyFill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4" fontId="0" fillId="0" borderId="3" xfId="0" applyNumberFormat="1" applyBorder="1" applyAlignment="1">
      <alignment horizontal="right" vertical="top"/>
    </xf>
    <xf numFmtId="1" fontId="0" fillId="2" borderId="0" xfId="0" applyNumberFormat="1" applyFill="1"/>
    <xf numFmtId="1" fontId="0" fillId="2" borderId="0" xfId="0" applyNumberFormat="1" applyFill="1" applyAlignment="1">
      <alignment horizontal="left"/>
    </xf>
    <xf numFmtId="1" fontId="0" fillId="0" borderId="0" xfId="0" applyNumberFormat="1" applyFill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SF_Gies_UIUC\Spring%202023\Derivatives\Assignments\PS2\final%20PS2.xlsx" TargetMode="External"/><Relationship Id="rId1" Type="http://schemas.openxmlformats.org/officeDocument/2006/relationships/externalLinkPath" Target="/MSF_Gies_UIUC/Spring%202023/Derivatives/Assignments/PS2/final%20P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aluation"/>
      <sheetName val="Bloomberg"/>
      <sheetName val="Payoff"/>
    </sheetNames>
    <sheetDataSet>
      <sheetData sheetId="0">
        <row r="14">
          <cell r="B14">
            <v>0.91506699999999996</v>
          </cell>
        </row>
        <row r="15">
          <cell r="B15">
            <v>11108.45</v>
          </cell>
        </row>
        <row r="16">
          <cell r="B16">
            <v>4.431828619074147E-2</v>
          </cell>
        </row>
        <row r="17">
          <cell r="B17">
            <v>2.0027397260273974</v>
          </cell>
        </row>
        <row r="18">
          <cell r="B18">
            <v>1.0319999999999999E-2</v>
          </cell>
        </row>
        <row r="19">
          <cell r="B19">
            <v>0.91501303615827356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428B-F067-44F3-96E9-644B715E2FFB}">
  <dimension ref="B2:P12"/>
  <sheetViews>
    <sheetView workbookViewId="0">
      <selection activeCell="M12" sqref="M12"/>
    </sheetView>
  </sheetViews>
  <sheetFormatPr defaultRowHeight="14.4" x14ac:dyDescent="0.3"/>
  <cols>
    <col min="1" max="1" width="2.5546875" customWidth="1"/>
    <col min="3" max="3" width="11.21875" bestFit="1" customWidth="1"/>
    <col min="4" max="4" width="12" bestFit="1" customWidth="1"/>
    <col min="5" max="5" width="12" customWidth="1"/>
    <col min="6" max="6" width="9.21875" bestFit="1" customWidth="1"/>
    <col min="10" max="10" width="9.5546875" bestFit="1" customWidth="1"/>
    <col min="14" max="14" width="13.109375" bestFit="1" customWidth="1"/>
    <col min="15" max="15" width="32.33203125" bestFit="1" customWidth="1"/>
  </cols>
  <sheetData>
    <row r="2" spans="2:16" x14ac:dyDescent="0.3">
      <c r="B2" s="13" t="s">
        <v>13</v>
      </c>
      <c r="C2" s="13" t="s">
        <v>14</v>
      </c>
      <c r="D2" s="13" t="s">
        <v>15</v>
      </c>
      <c r="E2" s="13" t="s">
        <v>16</v>
      </c>
      <c r="F2" s="14" t="s">
        <v>17</v>
      </c>
      <c r="G2" s="13" t="s">
        <v>18</v>
      </c>
      <c r="H2" s="13" t="s">
        <v>19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N2" s="13" t="s">
        <v>25</v>
      </c>
      <c r="P2" s="13" t="s">
        <v>34</v>
      </c>
    </row>
    <row r="3" spans="2:16" x14ac:dyDescent="0.3">
      <c r="B3" s="15">
        <v>0.8</v>
      </c>
      <c r="C3" s="16">
        <v>24</v>
      </c>
      <c r="D3" s="17">
        <v>0.30507000000000001</v>
      </c>
      <c r="E3" s="16">
        <v>25</v>
      </c>
      <c r="F3" s="17">
        <v>0.30387999999999998</v>
      </c>
      <c r="G3" s="18">
        <f>E3-C3</f>
        <v>1</v>
      </c>
      <c r="H3" s="19">
        <f>F3-D3</f>
        <v>-1.1900000000000244E-3</v>
      </c>
      <c r="I3" s="20">
        <f>H3/G3</f>
        <v>-1.1900000000000244E-3</v>
      </c>
      <c r="J3" s="21">
        <v>24.37</v>
      </c>
      <c r="K3" s="18">
        <f>J3-C3</f>
        <v>0.37000000000000099</v>
      </c>
      <c r="L3" s="19">
        <f>I3*K3</f>
        <v>-4.4030000000001021E-4</v>
      </c>
      <c r="M3" s="22">
        <f>D3+L3</f>
        <v>0.3046297</v>
      </c>
      <c r="N3" t="s">
        <v>26</v>
      </c>
    </row>
    <row r="4" spans="2:16" x14ac:dyDescent="0.3">
      <c r="C4" s="16">
        <v>24</v>
      </c>
      <c r="D4" s="17">
        <v>0.29282000000000002</v>
      </c>
      <c r="E4" s="16">
        <v>25</v>
      </c>
      <c r="F4" s="17">
        <v>0.29193000000000002</v>
      </c>
      <c r="G4" s="18">
        <f t="shared" ref="G4:H8" si="0">E4-C4</f>
        <v>1</v>
      </c>
      <c r="H4" s="19">
        <f t="shared" si="0"/>
        <v>-8.900000000000019E-4</v>
      </c>
      <c r="I4" s="20">
        <f>H4/G4</f>
        <v>-8.900000000000019E-4</v>
      </c>
      <c r="J4" s="21">
        <v>24.37</v>
      </c>
      <c r="K4" s="18">
        <f>J4-C4</f>
        <v>0.37000000000000099</v>
      </c>
      <c r="L4" s="19">
        <f>I4*K4</f>
        <v>-3.2930000000000161E-4</v>
      </c>
      <c r="M4" s="22">
        <f>D4+L4</f>
        <v>0.29249070000000005</v>
      </c>
      <c r="N4" t="s">
        <v>27</v>
      </c>
    </row>
    <row r="5" spans="2:16" x14ac:dyDescent="0.3">
      <c r="B5" s="23">
        <v>1</v>
      </c>
      <c r="C5" s="16">
        <v>24</v>
      </c>
      <c r="D5" s="17">
        <v>0.28159000000000001</v>
      </c>
      <c r="E5" s="16">
        <v>25</v>
      </c>
      <c r="F5" s="17">
        <v>0.28084999999999999</v>
      </c>
      <c r="G5" s="18">
        <f t="shared" si="0"/>
        <v>1</v>
      </c>
      <c r="H5" s="19">
        <f t="shared" si="0"/>
        <v>-7.4000000000001842E-4</v>
      </c>
      <c r="I5" s="20">
        <f t="shared" ref="I5:I8" si="1">H5/G5</f>
        <v>-7.4000000000001842E-4</v>
      </c>
      <c r="J5" s="21">
        <v>24.37</v>
      </c>
      <c r="K5" s="18">
        <f t="shared" ref="K5:K8" si="2">J5-C5</f>
        <v>0.37000000000000099</v>
      </c>
      <c r="L5" s="19">
        <f t="shared" ref="L5:L8" si="3">I5*K5</f>
        <v>-2.7380000000000758E-4</v>
      </c>
      <c r="M5" s="22">
        <f t="shared" ref="M5:M8" si="4">D5+L5</f>
        <v>0.28131620000000002</v>
      </c>
      <c r="N5" t="s">
        <v>28</v>
      </c>
    </row>
    <row r="6" spans="2:16" x14ac:dyDescent="0.3">
      <c r="B6" s="23"/>
      <c r="C6" s="16">
        <v>24</v>
      </c>
      <c r="D6" s="17">
        <v>0.24686</v>
      </c>
      <c r="E6" s="16">
        <v>25</v>
      </c>
      <c r="F6" s="17">
        <v>0.24679000000000001</v>
      </c>
      <c r="G6" s="18">
        <f t="shared" si="0"/>
        <v>1</v>
      </c>
      <c r="H6" s="19">
        <f t="shared" si="0"/>
        <v>-6.9999999999986739E-5</v>
      </c>
      <c r="I6" s="20">
        <f t="shared" si="1"/>
        <v>-6.9999999999986739E-5</v>
      </c>
      <c r="J6" s="21">
        <v>24.37</v>
      </c>
      <c r="K6" s="18">
        <f t="shared" si="2"/>
        <v>0.37000000000000099</v>
      </c>
      <c r="L6" s="19">
        <f t="shared" si="3"/>
        <v>-2.5899999999995164E-5</v>
      </c>
      <c r="M6" s="22">
        <f t="shared" si="4"/>
        <v>0.2468341</v>
      </c>
      <c r="N6" t="s">
        <v>29</v>
      </c>
    </row>
    <row r="7" spans="2:16" x14ac:dyDescent="0.3">
      <c r="B7" s="4">
        <v>1.17</v>
      </c>
      <c r="C7" s="16">
        <v>24</v>
      </c>
      <c r="D7" s="17">
        <v>0.22322</v>
      </c>
      <c r="E7" s="16">
        <v>25</v>
      </c>
      <c r="F7" s="17">
        <v>0.22356999999999999</v>
      </c>
      <c r="G7" s="18">
        <f t="shared" si="0"/>
        <v>1</v>
      </c>
      <c r="H7" s="19">
        <f t="shared" si="0"/>
        <v>3.4999999999998921E-4</v>
      </c>
      <c r="I7" s="20">
        <f t="shared" si="1"/>
        <v>3.4999999999998921E-4</v>
      </c>
      <c r="J7" s="21">
        <v>24.37</v>
      </c>
      <c r="K7" s="18">
        <f t="shared" si="2"/>
        <v>0.37000000000000099</v>
      </c>
      <c r="L7" s="19">
        <f t="shared" si="3"/>
        <v>1.2949999999999634E-4</v>
      </c>
      <c r="M7" s="22">
        <f t="shared" si="4"/>
        <v>0.22334950000000001</v>
      </c>
      <c r="N7" t="s">
        <v>30</v>
      </c>
    </row>
    <row r="8" spans="2:16" x14ac:dyDescent="0.3">
      <c r="B8" s="4"/>
      <c r="C8" s="16">
        <v>24</v>
      </c>
      <c r="D8" s="17">
        <v>0.25529000000000002</v>
      </c>
      <c r="E8" s="16">
        <v>25</v>
      </c>
      <c r="F8" s="17">
        <v>0.25492999999999999</v>
      </c>
      <c r="G8" s="18">
        <f t="shared" si="0"/>
        <v>1</v>
      </c>
      <c r="H8" s="19">
        <f t="shared" si="0"/>
        <v>-3.6000000000002697E-4</v>
      </c>
      <c r="I8" s="20">
        <f t="shared" si="1"/>
        <v>-3.6000000000002697E-4</v>
      </c>
      <c r="J8" s="21">
        <v>24.37</v>
      </c>
      <c r="K8" s="18">
        <f t="shared" si="2"/>
        <v>0.37000000000000099</v>
      </c>
      <c r="L8" s="19">
        <f t="shared" si="3"/>
        <v>-1.3320000000001034E-4</v>
      </c>
      <c r="M8" s="22">
        <f t="shared" si="4"/>
        <v>0.25515680000000002</v>
      </c>
      <c r="N8" t="s">
        <v>31</v>
      </c>
    </row>
    <row r="9" spans="2:16" x14ac:dyDescent="0.3">
      <c r="B9" s="4"/>
      <c r="C9" s="16"/>
      <c r="D9" s="17"/>
      <c r="E9" s="16"/>
      <c r="F9" s="17"/>
      <c r="G9" s="18"/>
      <c r="H9" s="19"/>
      <c r="I9" s="20"/>
      <c r="J9" s="21"/>
      <c r="K9" s="18"/>
      <c r="L9" s="19"/>
      <c r="M9" s="22"/>
    </row>
    <row r="10" spans="2:16" x14ac:dyDescent="0.3">
      <c r="C10" s="16"/>
      <c r="D10" s="17"/>
      <c r="E10" s="16"/>
      <c r="F10" s="17"/>
      <c r="G10" s="18"/>
      <c r="H10" s="19"/>
      <c r="I10" s="24"/>
      <c r="J10" s="21"/>
      <c r="K10" s="18"/>
      <c r="L10" s="19"/>
      <c r="M10" s="22"/>
    </row>
    <row r="11" spans="2:16" x14ac:dyDescent="0.3">
      <c r="B11" s="4" t="s">
        <v>32</v>
      </c>
      <c r="C11" s="25">
        <v>45678</v>
      </c>
      <c r="D11" s="26">
        <v>0.92217199999999999</v>
      </c>
      <c r="E11" s="25">
        <v>46042</v>
      </c>
      <c r="F11" s="27">
        <v>0.89854599999999996</v>
      </c>
      <c r="G11" s="18">
        <f>E11-C11</f>
        <v>364</v>
      </c>
      <c r="H11" s="19">
        <f>F11-D11</f>
        <v>-2.3626000000000036E-2</v>
      </c>
      <c r="I11" s="24">
        <f>H11/G11</f>
        <v>-6.4906593406593508E-5</v>
      </c>
      <c r="J11" s="28">
        <f>Sheet1!C4</f>
        <v>45859</v>
      </c>
      <c r="K11" s="18">
        <f>J11-C11</f>
        <v>181</v>
      </c>
      <c r="L11" s="19">
        <f>I11*K11</f>
        <v>-1.1748093406593425E-2</v>
      </c>
      <c r="M11" s="26">
        <f>D11+L11</f>
        <v>0.91042390659340655</v>
      </c>
      <c r="O11" t="s">
        <v>33</v>
      </c>
    </row>
    <row r="12" spans="2:16" x14ac:dyDescent="0.3">
      <c r="B12" s="4" t="s">
        <v>32</v>
      </c>
      <c r="C12" s="25">
        <v>45678</v>
      </c>
      <c r="D12" s="26">
        <v>0.92217199999999999</v>
      </c>
      <c r="E12" s="25">
        <v>46042</v>
      </c>
      <c r="F12" s="27">
        <v>0.89854599999999996</v>
      </c>
      <c r="G12" s="18">
        <f>E12-C12</f>
        <v>364</v>
      </c>
      <c r="H12" s="19">
        <f>F12-D12</f>
        <v>-2.3626000000000036E-2</v>
      </c>
      <c r="I12" s="24">
        <f>H12/G12</f>
        <v>-6.4906593406593508E-5</v>
      </c>
      <c r="J12" s="28">
        <f>Sheet1!C5</f>
        <v>45862</v>
      </c>
      <c r="K12" s="18">
        <f>J12-C12</f>
        <v>184</v>
      </c>
      <c r="L12" s="19">
        <f>I12*K12</f>
        <v>-1.1942813186813206E-2</v>
      </c>
      <c r="M12" s="26">
        <f>D12+L12</f>
        <v>0.91022918681318676</v>
      </c>
      <c r="O12">
        <f>M11/M12</f>
        <v>1.0002139239029475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E28B-DF61-4083-B295-40FAFB52911A}">
  <dimension ref="A1:L32"/>
  <sheetViews>
    <sheetView tabSelected="1" topLeftCell="A5" workbookViewId="0">
      <selection activeCell="L23" sqref="L10:L23"/>
    </sheetView>
  </sheetViews>
  <sheetFormatPr defaultRowHeight="14.4" x14ac:dyDescent="0.3"/>
  <cols>
    <col min="2" max="2" width="19.5546875" bestFit="1" customWidth="1"/>
    <col min="3" max="3" width="9.5546875" bestFit="1" customWidth="1"/>
    <col min="4" max="4" width="11.109375" bestFit="1" customWidth="1"/>
    <col min="5" max="5" width="4.88671875" bestFit="1" customWidth="1"/>
    <col min="7" max="7" width="18.33203125" bestFit="1" customWidth="1"/>
    <col min="8" max="8" width="18.33203125" customWidth="1"/>
    <col min="9" max="9" width="20.21875" bestFit="1" customWidth="1"/>
    <col min="10" max="10" width="9.5546875" bestFit="1" customWidth="1"/>
  </cols>
  <sheetData>
    <row r="1" spans="2:12" ht="15" thickBot="1" x14ac:dyDescent="0.35">
      <c r="D1" t="s">
        <v>39</v>
      </c>
      <c r="E1" t="s">
        <v>38</v>
      </c>
    </row>
    <row r="2" spans="2:12" ht="15" thickBot="1" x14ac:dyDescent="0.35">
      <c r="B2" s="12" t="s">
        <v>9</v>
      </c>
      <c r="C2" s="2">
        <v>44946</v>
      </c>
      <c r="D2" s="7">
        <f>_xlfn.DAYS(C2,$C$2)/365</f>
        <v>0</v>
      </c>
      <c r="E2" s="30">
        <f>_xlfn.DAYS(C2,$C$2)</f>
        <v>0</v>
      </c>
      <c r="G2" s="10" t="s">
        <v>5</v>
      </c>
      <c r="H2" s="11" t="s">
        <v>38</v>
      </c>
      <c r="I2" s="11" t="s">
        <v>6</v>
      </c>
      <c r="J2" s="11" t="s">
        <v>38</v>
      </c>
    </row>
    <row r="3" spans="2:12" x14ac:dyDescent="0.3">
      <c r="B3" s="12" t="s">
        <v>10</v>
      </c>
      <c r="C3" s="2">
        <v>44951</v>
      </c>
      <c r="D3" s="7">
        <f t="shared" ref="D3" si="0">_xlfn.DAYS(C3,$C$2)/365</f>
        <v>1.3698630136986301E-2</v>
      </c>
      <c r="E3" s="30">
        <f t="shared" ref="E3:E5" si="1">_xlfn.DAYS(C3,$C$2)</f>
        <v>5</v>
      </c>
      <c r="G3" s="8">
        <v>44978</v>
      </c>
      <c r="H3" s="29">
        <f>_xlfn.DAYS(G3,$C$2)</f>
        <v>32</v>
      </c>
      <c r="I3" s="8">
        <v>44981</v>
      </c>
      <c r="J3" s="29">
        <f>_xlfn.DAYS(I3,$C$2)</f>
        <v>35</v>
      </c>
    </row>
    <row r="4" spans="2:12" x14ac:dyDescent="0.3">
      <c r="B4" s="12" t="s">
        <v>7</v>
      </c>
      <c r="C4" s="2">
        <v>45859</v>
      </c>
      <c r="D4" s="7">
        <f>_xlfn.DAYS(C4,$C$2)/365</f>
        <v>2.5013698630136987</v>
      </c>
      <c r="E4" s="30">
        <f t="shared" si="1"/>
        <v>913</v>
      </c>
      <c r="G4" s="8">
        <v>45005</v>
      </c>
      <c r="H4" s="29">
        <f>_xlfn.DAYS(G4,$C$2)</f>
        <v>59</v>
      </c>
      <c r="I4" s="9">
        <v>45008</v>
      </c>
      <c r="J4" s="29">
        <f t="shared" ref="J4:J32" si="2">_xlfn.DAYS(I4,$C$2)</f>
        <v>62</v>
      </c>
    </row>
    <row r="5" spans="2:12" x14ac:dyDescent="0.3">
      <c r="B5" s="12" t="s">
        <v>8</v>
      </c>
      <c r="C5" s="2">
        <v>45862</v>
      </c>
      <c r="D5" s="7">
        <f>_xlfn.DAYS(C5,$C$2)/365</f>
        <v>2.5095890410958903</v>
      </c>
      <c r="E5" s="30">
        <f t="shared" si="1"/>
        <v>916</v>
      </c>
      <c r="G5" s="8">
        <v>45036</v>
      </c>
      <c r="H5" s="29">
        <f>_xlfn.DAYS(G5,$C$2)</f>
        <v>90</v>
      </c>
      <c r="I5" s="8">
        <v>45041</v>
      </c>
      <c r="J5" s="29">
        <f t="shared" si="2"/>
        <v>95</v>
      </c>
    </row>
    <row r="6" spans="2:12" x14ac:dyDescent="0.3">
      <c r="B6" s="12" t="s">
        <v>4</v>
      </c>
      <c r="C6" s="3">
        <v>1000</v>
      </c>
      <c r="D6" s="7"/>
      <c r="G6" s="8">
        <v>45068</v>
      </c>
      <c r="H6" s="29">
        <f>_xlfn.DAYS(G6,$C$2)</f>
        <v>122</v>
      </c>
      <c r="I6" s="8">
        <v>45071</v>
      </c>
      <c r="J6" s="29">
        <f t="shared" si="2"/>
        <v>125</v>
      </c>
    </row>
    <row r="7" spans="2:12" x14ac:dyDescent="0.3">
      <c r="B7" s="12" t="s">
        <v>0</v>
      </c>
      <c r="C7" s="3">
        <v>127.79</v>
      </c>
      <c r="G7" s="8">
        <v>45097</v>
      </c>
      <c r="H7" s="29">
        <f>_xlfn.DAYS(G7,$C$2)</f>
        <v>151</v>
      </c>
      <c r="I7" s="9">
        <v>45100</v>
      </c>
      <c r="J7" s="29">
        <f t="shared" si="2"/>
        <v>154</v>
      </c>
    </row>
    <row r="8" spans="2:12" x14ac:dyDescent="0.3">
      <c r="B8" s="12" t="s">
        <v>1</v>
      </c>
      <c r="C8" s="3">
        <f>C7*D8</f>
        <v>63.895000000000003</v>
      </c>
      <c r="D8" s="4">
        <v>0.5</v>
      </c>
      <c r="G8" s="8">
        <v>45127</v>
      </c>
      <c r="H8" s="29">
        <f>_xlfn.DAYS(G8,$C$2)</f>
        <v>181</v>
      </c>
      <c r="I8" s="8">
        <v>45132</v>
      </c>
      <c r="J8" s="29">
        <f t="shared" si="2"/>
        <v>186</v>
      </c>
    </row>
    <row r="9" spans="2:12" x14ac:dyDescent="0.3">
      <c r="B9" s="12" t="s">
        <v>2</v>
      </c>
      <c r="C9" s="3">
        <f>C8</f>
        <v>63.895000000000003</v>
      </c>
      <c r="G9" s="8">
        <v>45159</v>
      </c>
      <c r="H9" s="29">
        <f>_xlfn.DAYS(G9,$C$2)</f>
        <v>213</v>
      </c>
      <c r="I9" s="8">
        <v>45162</v>
      </c>
      <c r="J9" s="29">
        <f t="shared" si="2"/>
        <v>216</v>
      </c>
    </row>
    <row r="10" spans="2:12" x14ac:dyDescent="0.3">
      <c r="B10" s="12" t="s">
        <v>3</v>
      </c>
      <c r="C10" s="5">
        <v>0.155</v>
      </c>
      <c r="G10" s="8">
        <v>45189</v>
      </c>
      <c r="H10" s="29">
        <f>_xlfn.DAYS(G10,$C$2)</f>
        <v>243</v>
      </c>
      <c r="I10" s="8">
        <v>45194</v>
      </c>
      <c r="J10" s="29">
        <f t="shared" si="2"/>
        <v>248</v>
      </c>
      <c r="L10" s="33" t="s">
        <v>47</v>
      </c>
    </row>
    <row r="11" spans="2:12" x14ac:dyDescent="0.3">
      <c r="B11" s="12" t="s">
        <v>45</v>
      </c>
      <c r="C11">
        <f>C10/12</f>
        <v>1.2916666666666667E-2</v>
      </c>
      <c r="G11" s="8">
        <v>45219</v>
      </c>
      <c r="H11" s="29">
        <f>_xlfn.DAYS(G11,$C$2)</f>
        <v>273</v>
      </c>
      <c r="I11" s="8">
        <v>45224</v>
      </c>
      <c r="J11" s="29">
        <f t="shared" si="2"/>
        <v>278</v>
      </c>
      <c r="L11" s="33" t="s">
        <v>48</v>
      </c>
    </row>
    <row r="12" spans="2:12" x14ac:dyDescent="0.3">
      <c r="B12" s="12" t="s">
        <v>46</v>
      </c>
      <c r="C12" s="6">
        <f>C11*C6</f>
        <v>12.916666666666666</v>
      </c>
      <c r="G12" s="8">
        <v>45250</v>
      </c>
      <c r="H12" s="29">
        <f>_xlfn.DAYS(G12,$C$2)</f>
        <v>304</v>
      </c>
      <c r="I12" s="8">
        <v>45254</v>
      </c>
      <c r="J12" s="29">
        <f t="shared" si="2"/>
        <v>308</v>
      </c>
      <c r="L12" s="33" t="s">
        <v>49</v>
      </c>
    </row>
    <row r="13" spans="2:12" x14ac:dyDescent="0.3">
      <c r="G13" s="8">
        <v>45280</v>
      </c>
      <c r="H13" s="29">
        <f>_xlfn.DAYS(G13,$C$2)</f>
        <v>334</v>
      </c>
      <c r="I13" s="8">
        <v>45286</v>
      </c>
      <c r="J13" s="29">
        <f t="shared" si="2"/>
        <v>340</v>
      </c>
      <c r="L13" s="33" t="s">
        <v>50</v>
      </c>
    </row>
    <row r="14" spans="2:12" x14ac:dyDescent="0.3">
      <c r="C14" s="12" t="s">
        <v>34</v>
      </c>
      <c r="D14" t="s">
        <v>40</v>
      </c>
      <c r="G14" s="1">
        <v>45313</v>
      </c>
      <c r="H14" s="31">
        <f>_xlfn.DAYS(G14,$C$2)</f>
        <v>367</v>
      </c>
      <c r="I14" s="1">
        <v>45316</v>
      </c>
      <c r="J14" s="31">
        <f t="shared" si="2"/>
        <v>370</v>
      </c>
      <c r="L14" s="33" t="s">
        <v>51</v>
      </c>
    </row>
    <row r="15" spans="2:12" x14ac:dyDescent="0.3">
      <c r="B15" s="12" t="s">
        <v>41</v>
      </c>
      <c r="C15">
        <f>-LN(D15)/$D$5</f>
        <v>3.7394551450028832E-2</v>
      </c>
      <c r="D15">
        <f>Bloomberg!M11</f>
        <v>0.91042390659340655</v>
      </c>
      <c r="G15" s="1">
        <v>45342</v>
      </c>
      <c r="H15" s="31">
        <f>_xlfn.DAYS(G15,$C$2)</f>
        <v>396</v>
      </c>
      <c r="I15" s="1">
        <v>45345</v>
      </c>
      <c r="J15" s="31">
        <f t="shared" si="2"/>
        <v>399</v>
      </c>
      <c r="L15" s="33" t="s">
        <v>11</v>
      </c>
    </row>
    <row r="16" spans="2:12" x14ac:dyDescent="0.3">
      <c r="B16" s="12" t="s">
        <v>42</v>
      </c>
      <c r="C16">
        <f>-LN(D16)/$D$5</f>
        <v>3.7479784936862486E-2</v>
      </c>
      <c r="D16">
        <f>Bloomberg!M12</f>
        <v>0.91022918681318676</v>
      </c>
      <c r="G16" s="1">
        <v>45371</v>
      </c>
      <c r="H16" s="31">
        <f>_xlfn.DAYS(G16,$C$2)</f>
        <v>425</v>
      </c>
      <c r="I16" s="1">
        <v>45376</v>
      </c>
      <c r="J16" s="31">
        <f t="shared" si="2"/>
        <v>430</v>
      </c>
      <c r="L16" s="33" t="s">
        <v>12</v>
      </c>
    </row>
    <row r="17" spans="1:12" x14ac:dyDescent="0.3">
      <c r="B17" s="12"/>
      <c r="G17" s="1">
        <v>45404</v>
      </c>
      <c r="H17" s="31">
        <f>_xlfn.DAYS(G17,$C$2)</f>
        <v>458</v>
      </c>
      <c r="I17" s="1">
        <v>45407</v>
      </c>
      <c r="J17" s="31">
        <f t="shared" si="2"/>
        <v>461</v>
      </c>
      <c r="L17" s="33" t="s">
        <v>52</v>
      </c>
    </row>
    <row r="18" spans="1:12" x14ac:dyDescent="0.3">
      <c r="G18" s="1">
        <v>45432</v>
      </c>
      <c r="H18" s="31">
        <f>_xlfn.DAYS(G18,$C$2)</f>
        <v>486</v>
      </c>
      <c r="I18" s="1">
        <v>45435</v>
      </c>
      <c r="J18" s="31">
        <f t="shared" si="2"/>
        <v>489</v>
      </c>
      <c r="L18" s="33" t="s">
        <v>53</v>
      </c>
    </row>
    <row r="19" spans="1:12" x14ac:dyDescent="0.3">
      <c r="B19" s="12" t="s">
        <v>35</v>
      </c>
      <c r="C19" s="5">
        <v>2.912E-2</v>
      </c>
      <c r="G19" s="1">
        <v>45463</v>
      </c>
      <c r="H19" s="31">
        <f>_xlfn.DAYS(G19,$C$2)</f>
        <v>517</v>
      </c>
      <c r="I19" s="1">
        <v>45468</v>
      </c>
      <c r="J19" s="31">
        <f t="shared" si="2"/>
        <v>522</v>
      </c>
      <c r="L19" s="33" t="s">
        <v>54</v>
      </c>
    </row>
    <row r="20" spans="1:12" x14ac:dyDescent="0.3">
      <c r="A20" t="s">
        <v>36</v>
      </c>
      <c r="B20" s="12" t="s">
        <v>37</v>
      </c>
      <c r="G20" s="1">
        <v>45495</v>
      </c>
      <c r="H20" s="31">
        <f>_xlfn.DAYS(G20,$C$2)</f>
        <v>549</v>
      </c>
      <c r="I20" s="1">
        <v>45498</v>
      </c>
      <c r="J20" s="31">
        <f t="shared" si="2"/>
        <v>552</v>
      </c>
      <c r="L20" s="33" t="s">
        <v>55</v>
      </c>
    </row>
    <row r="21" spans="1:12" x14ac:dyDescent="0.3">
      <c r="B21" s="12" t="s">
        <v>44</v>
      </c>
      <c r="C21">
        <v>5</v>
      </c>
      <c r="D21" s="7"/>
      <c r="G21" s="1">
        <v>45524</v>
      </c>
      <c r="H21" s="31">
        <f>_xlfn.DAYS(G21,$C$2)</f>
        <v>578</v>
      </c>
      <c r="I21" s="1">
        <v>45527</v>
      </c>
      <c r="J21" s="31">
        <f t="shared" si="2"/>
        <v>581</v>
      </c>
      <c r="L21" s="33" t="s">
        <v>56</v>
      </c>
    </row>
    <row r="22" spans="1:12" x14ac:dyDescent="0.3">
      <c r="B22" s="12"/>
      <c r="D22" s="7"/>
      <c r="G22" s="1">
        <v>45555</v>
      </c>
      <c r="H22" s="31">
        <f>_xlfn.DAYS(G22,$C$2)</f>
        <v>609</v>
      </c>
      <c r="I22" s="1">
        <v>45560</v>
      </c>
      <c r="J22" s="31">
        <f t="shared" si="2"/>
        <v>614</v>
      </c>
      <c r="L22" s="33" t="s">
        <v>57</v>
      </c>
    </row>
    <row r="23" spans="1:12" x14ac:dyDescent="0.3">
      <c r="B23" s="12" t="s">
        <v>43</v>
      </c>
      <c r="C23">
        <v>900</v>
      </c>
      <c r="D23" s="7"/>
      <c r="G23" s="1">
        <v>45586</v>
      </c>
      <c r="H23" s="31">
        <f>_xlfn.DAYS(G23,$C$2)</f>
        <v>640</v>
      </c>
      <c r="I23" s="1">
        <v>45589</v>
      </c>
      <c r="J23" s="31">
        <f t="shared" si="2"/>
        <v>643</v>
      </c>
      <c r="L23" s="33" t="s">
        <v>58</v>
      </c>
    </row>
    <row r="24" spans="1:12" x14ac:dyDescent="0.3">
      <c r="C24">
        <f>C23-180</f>
        <v>720</v>
      </c>
      <c r="D24" s="7"/>
      <c r="G24" s="1">
        <v>45616</v>
      </c>
      <c r="H24" s="31">
        <f>_xlfn.DAYS(G24,$C$2)</f>
        <v>670</v>
      </c>
      <c r="I24" s="1">
        <v>45621</v>
      </c>
      <c r="J24" s="31">
        <f t="shared" si="2"/>
        <v>675</v>
      </c>
    </row>
    <row r="25" spans="1:12" x14ac:dyDescent="0.3">
      <c r="C25">
        <f>C24-180</f>
        <v>540</v>
      </c>
      <c r="D25" s="7"/>
      <c r="G25" s="1">
        <v>45646</v>
      </c>
      <c r="H25" s="31">
        <f>_xlfn.DAYS(G25,$C$2)</f>
        <v>700</v>
      </c>
      <c r="I25" s="1">
        <v>45652</v>
      </c>
      <c r="J25" s="31">
        <f t="shared" si="2"/>
        <v>706</v>
      </c>
      <c r="L25" s="32"/>
    </row>
    <row r="26" spans="1:12" x14ac:dyDescent="0.3">
      <c r="C26">
        <f>C25-180</f>
        <v>360</v>
      </c>
      <c r="G26" s="1">
        <v>45678</v>
      </c>
      <c r="H26" s="31">
        <f>_xlfn.DAYS(G26,$C$2)</f>
        <v>732</v>
      </c>
      <c r="I26" s="1">
        <v>45681</v>
      </c>
      <c r="J26" s="31">
        <f t="shared" si="2"/>
        <v>735</v>
      </c>
    </row>
    <row r="27" spans="1:12" x14ac:dyDescent="0.3">
      <c r="C27">
        <f>C26-180</f>
        <v>180</v>
      </c>
      <c r="G27" s="1">
        <v>45708</v>
      </c>
      <c r="H27" s="31">
        <f>_xlfn.DAYS(G27,$C$2)</f>
        <v>762</v>
      </c>
      <c r="I27" s="1">
        <v>45713</v>
      </c>
      <c r="J27" s="31">
        <f t="shared" si="2"/>
        <v>767</v>
      </c>
    </row>
    <row r="28" spans="1:12" x14ac:dyDescent="0.3">
      <c r="G28" s="1">
        <v>45736</v>
      </c>
      <c r="H28" s="31">
        <f>_xlfn.DAYS(G28,$C$2)</f>
        <v>790</v>
      </c>
      <c r="I28" s="1">
        <v>45741</v>
      </c>
      <c r="J28" s="31">
        <f t="shared" si="2"/>
        <v>795</v>
      </c>
    </row>
    <row r="29" spans="1:12" x14ac:dyDescent="0.3">
      <c r="G29" s="1">
        <v>45768</v>
      </c>
      <c r="H29" s="31">
        <f>_xlfn.DAYS(G29,$C$2)</f>
        <v>822</v>
      </c>
      <c r="I29" s="1">
        <v>45771</v>
      </c>
      <c r="J29" s="31">
        <f t="shared" si="2"/>
        <v>825</v>
      </c>
    </row>
    <row r="30" spans="1:12" x14ac:dyDescent="0.3">
      <c r="G30" s="1">
        <v>45797</v>
      </c>
      <c r="H30" s="31">
        <f>_xlfn.DAYS(G30,$C$2)</f>
        <v>851</v>
      </c>
      <c r="I30" s="1">
        <v>45800</v>
      </c>
      <c r="J30" s="31">
        <f t="shared" si="2"/>
        <v>854</v>
      </c>
    </row>
    <row r="31" spans="1:12" x14ac:dyDescent="0.3">
      <c r="G31" s="1">
        <v>45828</v>
      </c>
      <c r="H31" s="31">
        <f>_xlfn.DAYS(G31,$C$2)</f>
        <v>882</v>
      </c>
      <c r="I31" s="1">
        <v>45833</v>
      </c>
      <c r="J31" s="31">
        <f t="shared" si="2"/>
        <v>887</v>
      </c>
    </row>
    <row r="32" spans="1:12" x14ac:dyDescent="0.3">
      <c r="G32" s="1">
        <v>45859</v>
      </c>
      <c r="H32" s="31">
        <f>_xlfn.DAYS(G32,$C$2)</f>
        <v>913</v>
      </c>
      <c r="I32" s="1">
        <v>45862</v>
      </c>
      <c r="J32" s="31">
        <f t="shared" si="2"/>
        <v>916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Bloomberg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 Krishna</dc:creator>
  <cp:lastModifiedBy>Hare Krishna</cp:lastModifiedBy>
  <dcterms:created xsi:type="dcterms:W3CDTF">2023-03-08T20:07:27Z</dcterms:created>
  <dcterms:modified xsi:type="dcterms:W3CDTF">2023-03-11T08:27:39Z</dcterms:modified>
</cp:coreProperties>
</file>