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vie1054-it-fundamentals\"/>
    </mc:Choice>
  </mc:AlternateContent>
  <xr:revisionPtr revIDLastSave="0" documentId="13_ncr:1_{9BB801E9-4E67-420F-9124-8099703412AA}" xr6:coauthVersionLast="47" xr6:coauthVersionMax="47" xr10:uidLastSave="{00000000-0000-0000-0000-000000000000}"/>
  <bookViews>
    <workbookView xWindow="-108" yWindow="-108" windowWidth="23256" windowHeight="12456" firstSheet="5" activeTab="6" xr2:uid="{7B1D7D7F-FF1F-48AC-A151-A3B326EE0ED7}"/>
  </bookViews>
  <sheets>
    <sheet name="database" sheetId="1" state="hidden" r:id="rId1"/>
    <sheet name="vlookup" sheetId="4" state="hidden" r:id="rId2"/>
    <sheet name="hlookup" sheetId="5" state="hidden" r:id="rId3"/>
    <sheet name="lookup" sheetId="6" state="hidden" r:id="rId4"/>
    <sheet name="pivot_table" sheetId="8" state="hidden" r:id="rId5"/>
    <sheet name="ADVANCED EXCEL FUNCTIONS" sheetId="11" r:id="rId6"/>
    <sheet name="FINANCIAL-BEFORE" sheetId="10" r:id="rId7"/>
    <sheet name="FINANCIAL-AFTER" sheetId="9" r:id="rId8"/>
  </sheets>
  <definedNames>
    <definedName name="_xlnm._FilterDatabase" localSheetId="0" hidden="1">database!$A$1:$O$101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0" l="1"/>
  <c r="D51" i="10"/>
  <c r="D49" i="10"/>
  <c r="C50" i="9"/>
  <c r="C51" i="9" s="1"/>
  <c r="C47" i="10"/>
  <c r="C61" i="10"/>
  <c r="C60" i="10"/>
  <c r="C33" i="10"/>
  <c r="C26" i="10"/>
  <c r="C18" i="10"/>
  <c r="C61" i="9"/>
  <c r="C60" i="9"/>
  <c r="C26" i="9"/>
  <c r="C33" i="9"/>
  <c r="C18" i="9"/>
  <c r="B29" i="11"/>
  <c r="B25" i="11"/>
  <c r="B21" i="11"/>
  <c r="C17" i="11"/>
  <c r="C16" i="11"/>
  <c r="C49" i="10"/>
  <c r="C51" i="10" s="1"/>
  <c r="C52" i="10" s="1"/>
  <c r="C40" i="10"/>
  <c r="C38" i="10"/>
  <c r="C6" i="10"/>
  <c r="C7" i="10" s="1"/>
  <c r="C42" i="9"/>
  <c r="C40" i="9"/>
  <c r="C38" i="9"/>
  <c r="C49" i="9"/>
  <c r="C6" i="9"/>
  <c r="C7" i="9" s="1"/>
  <c r="C8" i="9" s="1"/>
  <c r="C9" i="9" s="1"/>
  <c r="S22" i="1"/>
  <c r="S21" i="1"/>
  <c r="S20" i="1"/>
  <c r="S19" i="1"/>
  <c r="S18" i="1"/>
  <c r="S17" i="1"/>
  <c r="S16" i="1"/>
  <c r="S15" i="1"/>
  <c r="S13" i="1"/>
  <c r="S12" i="1"/>
  <c r="S11" i="1"/>
  <c r="S10" i="1"/>
  <c r="S9" i="1"/>
  <c r="C10" i="6"/>
  <c r="C11" i="6"/>
  <c r="C12" i="6"/>
  <c r="C13" i="6"/>
  <c r="C14" i="6"/>
  <c r="C15" i="6"/>
  <c r="C16" i="6"/>
  <c r="C17" i="6"/>
  <c r="C18" i="6"/>
  <c r="C19" i="6"/>
  <c r="C20" i="6"/>
  <c r="C21" i="6"/>
  <c r="C9" i="6"/>
  <c r="B8" i="5"/>
  <c r="C8" i="4"/>
  <c r="B8" i="4"/>
  <c r="C4" i="4"/>
  <c r="C5" i="4"/>
  <c r="C6" i="4"/>
  <c r="C7" i="4"/>
  <c r="C3" i="4"/>
  <c r="B4" i="4"/>
  <c r="B5" i="4"/>
  <c r="B6" i="4"/>
  <c r="B7" i="4"/>
  <c r="B3" i="4"/>
  <c r="S5" i="1"/>
  <c r="S4" i="1"/>
  <c r="S3" i="1"/>
  <c r="J101" i="1" s="1"/>
  <c r="S2" i="1"/>
  <c r="I46" i="1"/>
  <c r="I75" i="1"/>
  <c r="I50" i="1"/>
  <c r="I102" i="1"/>
  <c r="I14" i="1"/>
  <c r="I64" i="1"/>
  <c r="I56" i="1"/>
  <c r="I88" i="1"/>
  <c r="I16" i="1"/>
  <c r="I10" i="1"/>
  <c r="I58" i="1"/>
  <c r="I78" i="1"/>
  <c r="I4" i="1"/>
  <c r="I76" i="1"/>
  <c r="I21" i="1"/>
  <c r="I63" i="1"/>
  <c r="I12" i="1"/>
  <c r="I91" i="1"/>
  <c r="I80" i="1"/>
  <c r="I44" i="1"/>
  <c r="I96" i="1"/>
  <c r="I26" i="1"/>
  <c r="I34" i="1"/>
  <c r="I35" i="1"/>
  <c r="I31" i="1"/>
  <c r="I81" i="1"/>
  <c r="I3" i="1"/>
  <c r="I55" i="1"/>
  <c r="I97" i="1"/>
  <c r="I22" i="1"/>
  <c r="I70" i="1"/>
  <c r="I18" i="1"/>
  <c r="I9" i="1"/>
  <c r="I90" i="1"/>
  <c r="I27" i="1"/>
  <c r="I99" i="1"/>
  <c r="I33" i="1"/>
  <c r="I38" i="1"/>
  <c r="I85" i="1"/>
  <c r="I49" i="1"/>
  <c r="I19" i="1"/>
  <c r="I51" i="1"/>
  <c r="I2" i="1"/>
  <c r="I15" i="1"/>
  <c r="I69" i="1"/>
  <c r="I48" i="1"/>
  <c r="I41" i="1"/>
  <c r="I39" i="1"/>
  <c r="I13" i="1"/>
  <c r="I79" i="1"/>
  <c r="I40" i="1"/>
  <c r="I66" i="1"/>
  <c r="I62" i="1"/>
  <c r="I42" i="1"/>
  <c r="I92" i="1"/>
  <c r="I87" i="1"/>
  <c r="I82" i="1"/>
  <c r="I23" i="1"/>
  <c r="I8" i="1"/>
  <c r="I98" i="1"/>
  <c r="I95" i="1"/>
  <c r="I6" i="1"/>
  <c r="I43" i="1"/>
  <c r="I25" i="1"/>
  <c r="I57" i="1"/>
  <c r="I71" i="1"/>
  <c r="I54" i="1"/>
  <c r="I84" i="1"/>
  <c r="I89" i="1"/>
  <c r="I29" i="1"/>
  <c r="I53" i="1"/>
  <c r="I28" i="1"/>
  <c r="I94" i="1"/>
  <c r="I45" i="1"/>
  <c r="I61" i="1"/>
  <c r="I100" i="1"/>
  <c r="I72" i="1"/>
  <c r="I74" i="1"/>
  <c r="I17" i="1"/>
  <c r="I7" i="1"/>
  <c r="I67" i="1"/>
  <c r="I36" i="1"/>
  <c r="I30" i="1"/>
  <c r="I5" i="1"/>
  <c r="I60" i="1"/>
  <c r="I37" i="1"/>
  <c r="I32" i="1"/>
  <c r="I93" i="1"/>
  <c r="I86" i="1"/>
  <c r="I65" i="1"/>
  <c r="I73" i="1"/>
  <c r="I77" i="1"/>
  <c r="I52" i="1"/>
  <c r="I11" i="1"/>
  <c r="I20" i="1"/>
  <c r="I83" i="1"/>
  <c r="I47" i="1"/>
  <c r="I59" i="1"/>
  <c r="I24" i="1"/>
  <c r="I101" i="1"/>
  <c r="O101" i="1"/>
  <c r="I68" i="1"/>
  <c r="H46" i="1"/>
  <c r="H75" i="1"/>
  <c r="H50" i="1"/>
  <c r="H102" i="1"/>
  <c r="H14" i="1"/>
  <c r="H64" i="1"/>
  <c r="H56" i="1"/>
  <c r="H88" i="1"/>
  <c r="H16" i="1"/>
  <c r="H10" i="1"/>
  <c r="H58" i="1"/>
  <c r="H78" i="1"/>
  <c r="H4" i="1"/>
  <c r="H76" i="1"/>
  <c r="H21" i="1"/>
  <c r="H63" i="1"/>
  <c r="H12" i="1"/>
  <c r="H91" i="1"/>
  <c r="H80" i="1"/>
  <c r="H44" i="1"/>
  <c r="H96" i="1"/>
  <c r="H26" i="1"/>
  <c r="H34" i="1"/>
  <c r="H35" i="1"/>
  <c r="H31" i="1"/>
  <c r="H81" i="1"/>
  <c r="H3" i="1"/>
  <c r="H55" i="1"/>
  <c r="H97" i="1"/>
  <c r="H22" i="1"/>
  <c r="H70" i="1"/>
  <c r="H18" i="1"/>
  <c r="H9" i="1"/>
  <c r="H90" i="1"/>
  <c r="H27" i="1"/>
  <c r="H99" i="1"/>
  <c r="H33" i="1"/>
  <c r="H38" i="1"/>
  <c r="H85" i="1"/>
  <c r="H49" i="1"/>
  <c r="H19" i="1"/>
  <c r="H51" i="1"/>
  <c r="H2" i="1"/>
  <c r="H15" i="1"/>
  <c r="H69" i="1"/>
  <c r="H48" i="1"/>
  <c r="H41" i="1"/>
  <c r="H39" i="1"/>
  <c r="H13" i="1"/>
  <c r="H79" i="1"/>
  <c r="H40" i="1"/>
  <c r="H66" i="1"/>
  <c r="H62" i="1"/>
  <c r="H42" i="1"/>
  <c r="H92" i="1"/>
  <c r="H87" i="1"/>
  <c r="H82" i="1"/>
  <c r="H23" i="1"/>
  <c r="H8" i="1"/>
  <c r="H98" i="1"/>
  <c r="H95" i="1"/>
  <c r="H6" i="1"/>
  <c r="H43" i="1"/>
  <c r="H25" i="1"/>
  <c r="H57" i="1"/>
  <c r="H71" i="1"/>
  <c r="H54" i="1"/>
  <c r="H84" i="1"/>
  <c r="H89" i="1"/>
  <c r="H29" i="1"/>
  <c r="H53" i="1"/>
  <c r="H28" i="1"/>
  <c r="H94" i="1"/>
  <c r="H45" i="1"/>
  <c r="H61" i="1"/>
  <c r="H100" i="1"/>
  <c r="H72" i="1"/>
  <c r="H74" i="1"/>
  <c r="H17" i="1"/>
  <c r="H7" i="1"/>
  <c r="H67" i="1"/>
  <c r="H36" i="1"/>
  <c r="H30" i="1"/>
  <c r="H5" i="1"/>
  <c r="H60" i="1"/>
  <c r="H37" i="1"/>
  <c r="H32" i="1"/>
  <c r="H93" i="1"/>
  <c r="H86" i="1"/>
  <c r="H65" i="1"/>
  <c r="H73" i="1"/>
  <c r="H77" i="1"/>
  <c r="H52" i="1"/>
  <c r="H11" i="1"/>
  <c r="H20" i="1"/>
  <c r="H83" i="1"/>
  <c r="H47" i="1"/>
  <c r="H59" i="1"/>
  <c r="H24" i="1"/>
  <c r="H101" i="1"/>
  <c r="H68" i="1"/>
  <c r="K101" i="1"/>
  <c r="L101" i="1"/>
  <c r="M101" i="1"/>
  <c r="N101" i="1"/>
  <c r="O59" i="1"/>
  <c r="O69" i="1"/>
  <c r="O77" i="1"/>
  <c r="O61" i="1"/>
  <c r="O84" i="1"/>
  <c r="O42" i="1"/>
  <c r="O27" i="1"/>
  <c r="O68" i="1"/>
  <c r="O21" i="1"/>
  <c r="O86" i="1"/>
  <c r="O38" i="1"/>
  <c r="O85" i="1"/>
  <c r="O13" i="1"/>
  <c r="O53" i="1"/>
  <c r="O72" i="1"/>
  <c r="O14" i="1"/>
  <c r="O3" i="1"/>
  <c r="O47" i="1"/>
  <c r="O51" i="1"/>
  <c r="O90" i="1"/>
  <c r="O87" i="1"/>
  <c r="O31" i="1"/>
  <c r="O96" i="1"/>
  <c r="O19" i="1"/>
  <c r="O49" i="1"/>
  <c r="O74" i="1"/>
  <c r="O50" i="1"/>
  <c r="O16" i="1"/>
  <c r="O48" i="1"/>
  <c r="O81" i="1"/>
  <c r="O18" i="1"/>
  <c r="O70" i="1"/>
  <c r="O66" i="1"/>
  <c r="O24" i="1"/>
  <c r="O91" i="1"/>
  <c r="O9" i="1"/>
  <c r="O25" i="1"/>
  <c r="O89" i="1"/>
  <c r="O30" i="1"/>
  <c r="O15" i="1"/>
  <c r="O82" i="1"/>
  <c r="O20" i="1"/>
  <c r="O44" i="1"/>
  <c r="O36" i="1"/>
  <c r="O54" i="1"/>
  <c r="O39" i="1"/>
  <c r="O94" i="1"/>
  <c r="O63" i="1"/>
  <c r="O5" i="1"/>
  <c r="O100" i="1"/>
  <c r="O8" i="1"/>
  <c r="O26" i="1"/>
  <c r="O98" i="1"/>
  <c r="O45" i="1"/>
  <c r="O73" i="1"/>
  <c r="O55" i="1"/>
  <c r="O93" i="1"/>
  <c r="O17" i="1"/>
  <c r="O40" i="1"/>
  <c r="O62" i="1"/>
  <c r="O95" i="1"/>
  <c r="O34" i="1"/>
  <c r="O32" i="1"/>
  <c r="O60" i="1"/>
  <c r="O52" i="1"/>
  <c r="O23" i="1"/>
  <c r="O10" i="1"/>
  <c r="O11" i="1"/>
  <c r="O28" i="1"/>
  <c r="O88" i="1"/>
  <c r="O78" i="1"/>
  <c r="O33" i="1"/>
  <c r="O37" i="1"/>
  <c r="O65" i="1"/>
  <c r="O41" i="1"/>
  <c r="O35" i="1"/>
  <c r="O4" i="1"/>
  <c r="O75" i="1"/>
  <c r="O29" i="1"/>
  <c r="O92" i="1"/>
  <c r="O102" i="1"/>
  <c r="O6" i="1"/>
  <c r="O67" i="1"/>
  <c r="O99" i="1"/>
  <c r="O7" i="1"/>
  <c r="O43" i="1"/>
  <c r="O12" i="1"/>
  <c r="O58" i="1"/>
  <c r="O22" i="1"/>
  <c r="O46" i="1"/>
  <c r="O97" i="1"/>
  <c r="O83" i="1"/>
  <c r="O2" i="1"/>
  <c r="O57" i="1"/>
  <c r="O56" i="1"/>
  <c r="O80" i="1"/>
  <c r="O76" i="1"/>
  <c r="O64" i="1"/>
  <c r="O79" i="1"/>
  <c r="O71" i="1"/>
  <c r="N59" i="1"/>
  <c r="N69" i="1"/>
  <c r="N77" i="1"/>
  <c r="N61" i="1"/>
  <c r="N84" i="1"/>
  <c r="N42" i="1"/>
  <c r="N27" i="1"/>
  <c r="N68" i="1"/>
  <c r="N21" i="1"/>
  <c r="N86" i="1"/>
  <c r="N38" i="1"/>
  <c r="N85" i="1"/>
  <c r="N13" i="1"/>
  <c r="N53" i="1"/>
  <c r="N72" i="1"/>
  <c r="N14" i="1"/>
  <c r="N3" i="1"/>
  <c r="N47" i="1"/>
  <c r="N51" i="1"/>
  <c r="N90" i="1"/>
  <c r="N87" i="1"/>
  <c r="N31" i="1"/>
  <c r="N96" i="1"/>
  <c r="N19" i="1"/>
  <c r="N49" i="1"/>
  <c r="N74" i="1"/>
  <c r="N50" i="1"/>
  <c r="N16" i="1"/>
  <c r="N48" i="1"/>
  <c r="N81" i="1"/>
  <c r="N18" i="1"/>
  <c r="N70" i="1"/>
  <c r="N66" i="1"/>
  <c r="N24" i="1"/>
  <c r="N91" i="1"/>
  <c r="N9" i="1"/>
  <c r="N25" i="1"/>
  <c r="N89" i="1"/>
  <c r="N30" i="1"/>
  <c r="N15" i="1"/>
  <c r="N82" i="1"/>
  <c r="N20" i="1"/>
  <c r="N44" i="1"/>
  <c r="N36" i="1"/>
  <c r="N54" i="1"/>
  <c r="N39" i="1"/>
  <c r="N94" i="1"/>
  <c r="N63" i="1"/>
  <c r="N5" i="1"/>
  <c r="N100" i="1"/>
  <c r="N8" i="1"/>
  <c r="N26" i="1"/>
  <c r="N98" i="1"/>
  <c r="N45" i="1"/>
  <c r="N73" i="1"/>
  <c r="N55" i="1"/>
  <c r="N93" i="1"/>
  <c r="N17" i="1"/>
  <c r="N40" i="1"/>
  <c r="N62" i="1"/>
  <c r="N95" i="1"/>
  <c r="N34" i="1"/>
  <c r="N32" i="1"/>
  <c r="N60" i="1"/>
  <c r="N52" i="1"/>
  <c r="N23" i="1"/>
  <c r="N10" i="1"/>
  <c r="N11" i="1"/>
  <c r="N28" i="1"/>
  <c r="N88" i="1"/>
  <c r="N78" i="1"/>
  <c r="N33" i="1"/>
  <c r="N37" i="1"/>
  <c r="N65" i="1"/>
  <c r="N41" i="1"/>
  <c r="N35" i="1"/>
  <c r="N4" i="1"/>
  <c r="N75" i="1"/>
  <c r="N29" i="1"/>
  <c r="N92" i="1"/>
  <c r="N102" i="1"/>
  <c r="N6" i="1"/>
  <c r="N67" i="1"/>
  <c r="N99" i="1"/>
  <c r="N7" i="1"/>
  <c r="N43" i="1"/>
  <c r="N12" i="1"/>
  <c r="N58" i="1"/>
  <c r="N22" i="1"/>
  <c r="N46" i="1"/>
  <c r="N97" i="1"/>
  <c r="N83" i="1"/>
  <c r="N2" i="1"/>
  <c r="N57" i="1"/>
  <c r="N56" i="1"/>
  <c r="N80" i="1"/>
  <c r="N76" i="1"/>
  <c r="N64" i="1"/>
  <c r="N79" i="1"/>
  <c r="N71" i="1"/>
  <c r="W9" i="1"/>
  <c r="W10" i="1"/>
  <c r="W11" i="1"/>
  <c r="W8" i="1"/>
  <c r="W3" i="1"/>
  <c r="W4" i="1"/>
  <c r="W5" i="1"/>
  <c r="W2" i="1"/>
  <c r="M59" i="1"/>
  <c r="M69" i="1"/>
  <c r="M77" i="1"/>
  <c r="M61" i="1"/>
  <c r="M84" i="1"/>
  <c r="M42" i="1"/>
  <c r="M27" i="1"/>
  <c r="M68" i="1"/>
  <c r="M21" i="1"/>
  <c r="M86" i="1"/>
  <c r="M38" i="1"/>
  <c r="M85" i="1"/>
  <c r="M13" i="1"/>
  <c r="M53" i="1"/>
  <c r="M72" i="1"/>
  <c r="M14" i="1"/>
  <c r="M3" i="1"/>
  <c r="M47" i="1"/>
  <c r="M51" i="1"/>
  <c r="M90" i="1"/>
  <c r="M87" i="1"/>
  <c r="M31" i="1"/>
  <c r="M96" i="1"/>
  <c r="M19" i="1"/>
  <c r="M49" i="1"/>
  <c r="M74" i="1"/>
  <c r="M50" i="1"/>
  <c r="M16" i="1"/>
  <c r="M48" i="1"/>
  <c r="M81" i="1"/>
  <c r="M18" i="1"/>
  <c r="M70" i="1"/>
  <c r="M66" i="1"/>
  <c r="M24" i="1"/>
  <c r="M91" i="1"/>
  <c r="M9" i="1"/>
  <c r="M25" i="1"/>
  <c r="M89" i="1"/>
  <c r="M30" i="1"/>
  <c r="M15" i="1"/>
  <c r="M82" i="1"/>
  <c r="M20" i="1"/>
  <c r="M44" i="1"/>
  <c r="M36" i="1"/>
  <c r="M54" i="1"/>
  <c r="M39" i="1"/>
  <c r="M94" i="1"/>
  <c r="M63" i="1"/>
  <c r="M5" i="1"/>
  <c r="M100" i="1"/>
  <c r="M8" i="1"/>
  <c r="M26" i="1"/>
  <c r="M98" i="1"/>
  <c r="M45" i="1"/>
  <c r="M73" i="1"/>
  <c r="M55" i="1"/>
  <c r="M93" i="1"/>
  <c r="M17" i="1"/>
  <c r="M40" i="1"/>
  <c r="M62" i="1"/>
  <c r="M95" i="1"/>
  <c r="M34" i="1"/>
  <c r="M32" i="1"/>
  <c r="M60" i="1"/>
  <c r="M52" i="1"/>
  <c r="M23" i="1"/>
  <c r="M10" i="1"/>
  <c r="M11" i="1"/>
  <c r="M28" i="1"/>
  <c r="M88" i="1"/>
  <c r="M78" i="1"/>
  <c r="M33" i="1"/>
  <c r="M37" i="1"/>
  <c r="M65" i="1"/>
  <c r="M41" i="1"/>
  <c r="M35" i="1"/>
  <c r="M4" i="1"/>
  <c r="M75" i="1"/>
  <c r="M29" i="1"/>
  <c r="M92" i="1"/>
  <c r="M102" i="1"/>
  <c r="M6" i="1"/>
  <c r="M67" i="1"/>
  <c r="M99" i="1"/>
  <c r="M7" i="1"/>
  <c r="M43" i="1"/>
  <c r="M12" i="1"/>
  <c r="M58" i="1"/>
  <c r="M22" i="1"/>
  <c r="M46" i="1"/>
  <c r="M97" i="1"/>
  <c r="M83" i="1"/>
  <c r="M2" i="1"/>
  <c r="M57" i="1"/>
  <c r="M56" i="1"/>
  <c r="M80" i="1"/>
  <c r="M76" i="1"/>
  <c r="M64" i="1"/>
  <c r="M79" i="1"/>
  <c r="M71" i="1"/>
  <c r="L59" i="1"/>
  <c r="L69" i="1"/>
  <c r="L77" i="1"/>
  <c r="L61" i="1"/>
  <c r="L84" i="1"/>
  <c r="L42" i="1"/>
  <c r="L27" i="1"/>
  <c r="L68" i="1"/>
  <c r="L21" i="1"/>
  <c r="L86" i="1"/>
  <c r="L38" i="1"/>
  <c r="L85" i="1"/>
  <c r="L13" i="1"/>
  <c r="L53" i="1"/>
  <c r="L72" i="1"/>
  <c r="L14" i="1"/>
  <c r="L3" i="1"/>
  <c r="L47" i="1"/>
  <c r="L51" i="1"/>
  <c r="L90" i="1"/>
  <c r="L87" i="1"/>
  <c r="L31" i="1"/>
  <c r="L96" i="1"/>
  <c r="L19" i="1"/>
  <c r="L49" i="1"/>
  <c r="L74" i="1"/>
  <c r="L50" i="1"/>
  <c r="L16" i="1"/>
  <c r="L48" i="1"/>
  <c r="L81" i="1"/>
  <c r="L18" i="1"/>
  <c r="L70" i="1"/>
  <c r="L66" i="1"/>
  <c r="L24" i="1"/>
  <c r="L91" i="1"/>
  <c r="L9" i="1"/>
  <c r="L25" i="1"/>
  <c r="L89" i="1"/>
  <c r="L30" i="1"/>
  <c r="L15" i="1"/>
  <c r="L82" i="1"/>
  <c r="L20" i="1"/>
  <c r="L44" i="1"/>
  <c r="L36" i="1"/>
  <c r="L54" i="1"/>
  <c r="L39" i="1"/>
  <c r="L94" i="1"/>
  <c r="L63" i="1"/>
  <c r="L5" i="1"/>
  <c r="L100" i="1"/>
  <c r="L8" i="1"/>
  <c r="L26" i="1"/>
  <c r="L98" i="1"/>
  <c r="L45" i="1"/>
  <c r="L73" i="1"/>
  <c r="L55" i="1"/>
  <c r="L93" i="1"/>
  <c r="L17" i="1"/>
  <c r="L40" i="1"/>
  <c r="L62" i="1"/>
  <c r="L95" i="1"/>
  <c r="L34" i="1"/>
  <c r="L32" i="1"/>
  <c r="L60" i="1"/>
  <c r="L52" i="1"/>
  <c r="L23" i="1"/>
  <c r="L10" i="1"/>
  <c r="L11" i="1"/>
  <c r="L28" i="1"/>
  <c r="L88" i="1"/>
  <c r="L78" i="1"/>
  <c r="L33" i="1"/>
  <c r="L37" i="1"/>
  <c r="L65" i="1"/>
  <c r="L41" i="1"/>
  <c r="L35" i="1"/>
  <c r="L4" i="1"/>
  <c r="L75" i="1"/>
  <c r="L29" i="1"/>
  <c r="L92" i="1"/>
  <c r="L102" i="1"/>
  <c r="L6" i="1"/>
  <c r="L67" i="1"/>
  <c r="L99" i="1"/>
  <c r="L7" i="1"/>
  <c r="L43" i="1"/>
  <c r="L12" i="1"/>
  <c r="L58" i="1"/>
  <c r="L22" i="1"/>
  <c r="L46" i="1"/>
  <c r="L97" i="1"/>
  <c r="L83" i="1"/>
  <c r="L2" i="1"/>
  <c r="L57" i="1"/>
  <c r="L56" i="1"/>
  <c r="L80" i="1"/>
  <c r="L76" i="1"/>
  <c r="L64" i="1"/>
  <c r="L79" i="1"/>
  <c r="L71" i="1"/>
  <c r="K59" i="1"/>
  <c r="K69" i="1"/>
  <c r="K77" i="1"/>
  <c r="K61" i="1"/>
  <c r="K84" i="1"/>
  <c r="K42" i="1"/>
  <c r="K27" i="1"/>
  <c r="K68" i="1"/>
  <c r="K21" i="1"/>
  <c r="K86" i="1"/>
  <c r="K38" i="1"/>
  <c r="K85" i="1"/>
  <c r="K13" i="1"/>
  <c r="K53" i="1"/>
  <c r="K72" i="1"/>
  <c r="K14" i="1"/>
  <c r="K3" i="1"/>
  <c r="K47" i="1"/>
  <c r="K51" i="1"/>
  <c r="K90" i="1"/>
  <c r="K87" i="1"/>
  <c r="K31" i="1"/>
  <c r="K96" i="1"/>
  <c r="K19" i="1"/>
  <c r="K49" i="1"/>
  <c r="K74" i="1"/>
  <c r="K50" i="1"/>
  <c r="K16" i="1"/>
  <c r="K48" i="1"/>
  <c r="K81" i="1"/>
  <c r="K18" i="1"/>
  <c r="K70" i="1"/>
  <c r="K66" i="1"/>
  <c r="K24" i="1"/>
  <c r="K91" i="1"/>
  <c r="K9" i="1"/>
  <c r="K25" i="1"/>
  <c r="K89" i="1"/>
  <c r="K30" i="1"/>
  <c r="K15" i="1"/>
  <c r="K82" i="1"/>
  <c r="K20" i="1"/>
  <c r="K44" i="1"/>
  <c r="K36" i="1"/>
  <c r="K54" i="1"/>
  <c r="K39" i="1"/>
  <c r="K94" i="1"/>
  <c r="K63" i="1"/>
  <c r="K5" i="1"/>
  <c r="K100" i="1"/>
  <c r="K8" i="1"/>
  <c r="K26" i="1"/>
  <c r="K98" i="1"/>
  <c r="K45" i="1"/>
  <c r="K73" i="1"/>
  <c r="K55" i="1"/>
  <c r="K93" i="1"/>
  <c r="K17" i="1"/>
  <c r="K40" i="1"/>
  <c r="K62" i="1"/>
  <c r="K95" i="1"/>
  <c r="K34" i="1"/>
  <c r="K32" i="1"/>
  <c r="K60" i="1"/>
  <c r="K52" i="1"/>
  <c r="K23" i="1"/>
  <c r="K10" i="1"/>
  <c r="K11" i="1"/>
  <c r="K28" i="1"/>
  <c r="K88" i="1"/>
  <c r="K78" i="1"/>
  <c r="K33" i="1"/>
  <c r="K37" i="1"/>
  <c r="K65" i="1"/>
  <c r="K41" i="1"/>
  <c r="K35" i="1"/>
  <c r="K4" i="1"/>
  <c r="K75" i="1"/>
  <c r="K29" i="1"/>
  <c r="K92" i="1"/>
  <c r="K102" i="1"/>
  <c r="K6" i="1"/>
  <c r="K67" i="1"/>
  <c r="K99" i="1"/>
  <c r="K7" i="1"/>
  <c r="K43" i="1"/>
  <c r="K12" i="1"/>
  <c r="K58" i="1"/>
  <c r="K22" i="1"/>
  <c r="K46" i="1"/>
  <c r="K97" i="1"/>
  <c r="K83" i="1"/>
  <c r="K2" i="1"/>
  <c r="K57" i="1"/>
  <c r="K56" i="1"/>
  <c r="K80" i="1"/>
  <c r="K76" i="1"/>
  <c r="K64" i="1"/>
  <c r="K79" i="1"/>
  <c r="K71" i="1"/>
  <c r="S7" i="1"/>
  <c r="S6" i="1"/>
  <c r="J77" i="1"/>
  <c r="C42" i="10" l="1"/>
  <c r="C8" i="10"/>
  <c r="C9" i="10" s="1"/>
  <c r="J22" i="1"/>
  <c r="J52" i="1"/>
  <c r="J60" i="1"/>
  <c r="J82" i="1"/>
  <c r="J15" i="1"/>
  <c r="J48" i="1"/>
  <c r="J3" i="1"/>
  <c r="J71" i="1"/>
  <c r="J16" i="1"/>
  <c r="J58" i="1"/>
  <c r="J14" i="1"/>
  <c r="J4" i="1"/>
  <c r="J84" i="1"/>
  <c r="J35" i="1"/>
  <c r="J61" i="1"/>
  <c r="J98" i="1"/>
  <c r="J26" i="1"/>
  <c r="J41" i="1"/>
  <c r="J30" i="1"/>
  <c r="J64" i="1"/>
  <c r="J43" i="1"/>
  <c r="J34" i="1"/>
  <c r="J89" i="1"/>
  <c r="J53" i="1"/>
  <c r="J76" i="1"/>
  <c r="J7" i="1"/>
  <c r="J37" i="1"/>
  <c r="J95" i="1"/>
  <c r="J5" i="1"/>
  <c r="J25" i="1"/>
  <c r="J49" i="1"/>
  <c r="J13" i="1"/>
  <c r="J59" i="1"/>
  <c r="J80" i="1"/>
  <c r="J99" i="1"/>
  <c r="J33" i="1"/>
  <c r="J62" i="1"/>
  <c r="J63" i="1"/>
  <c r="J9" i="1"/>
  <c r="J19" i="1"/>
  <c r="J85" i="1"/>
  <c r="J12" i="1"/>
  <c r="J32" i="1"/>
  <c r="J50" i="1"/>
  <c r="J65" i="1"/>
  <c r="J100" i="1"/>
  <c r="J74" i="1"/>
  <c r="J69" i="1"/>
  <c r="J56" i="1"/>
  <c r="J67" i="1"/>
  <c r="J78" i="1"/>
  <c r="J40" i="1"/>
  <c r="J94" i="1"/>
  <c r="J91" i="1"/>
  <c r="J96" i="1"/>
  <c r="J38" i="1"/>
  <c r="J57" i="1"/>
  <c r="J6" i="1"/>
  <c r="J88" i="1"/>
  <c r="J17" i="1"/>
  <c r="J39" i="1"/>
  <c r="J24" i="1"/>
  <c r="J31" i="1"/>
  <c r="J86" i="1"/>
  <c r="J21" i="1"/>
  <c r="J93" i="1"/>
  <c r="J11" i="1"/>
  <c r="J102" i="1"/>
  <c r="J66" i="1"/>
  <c r="J70" i="1"/>
  <c r="J2" i="1"/>
  <c r="J28" i="1"/>
  <c r="J54" i="1"/>
  <c r="J87" i="1"/>
  <c r="J83" i="1"/>
  <c r="J92" i="1"/>
  <c r="J55" i="1"/>
  <c r="J36" i="1"/>
  <c r="J90" i="1"/>
  <c r="J68" i="1"/>
  <c r="J97" i="1"/>
  <c r="J29" i="1"/>
  <c r="J10" i="1"/>
  <c r="J73" i="1"/>
  <c r="J44" i="1"/>
  <c r="J18" i="1"/>
  <c r="J51" i="1"/>
  <c r="J27" i="1"/>
  <c r="J46" i="1"/>
  <c r="J75" i="1"/>
  <c r="J23" i="1"/>
  <c r="J45" i="1"/>
  <c r="J20" i="1"/>
  <c r="J81" i="1"/>
  <c r="J47" i="1"/>
  <c r="J42" i="1"/>
  <c r="J72" i="1"/>
  <c r="J8" i="1"/>
  <c r="J79" i="1"/>
</calcChain>
</file>

<file path=xl/sharedStrings.xml><?xml version="1.0" encoding="utf-8"?>
<sst xmlns="http://schemas.openxmlformats.org/spreadsheetml/2006/main" count="801" uniqueCount="487">
  <si>
    <t>id</t>
  </si>
  <si>
    <t>full_name</t>
  </si>
  <si>
    <t>category</t>
  </si>
  <si>
    <t>brand</t>
  </si>
  <si>
    <t>price</t>
  </si>
  <si>
    <t>address</t>
  </si>
  <si>
    <t>Functions</t>
  </si>
  <si>
    <t>Jennica Dagon</t>
  </si>
  <si>
    <t xml:space="preserve">Appetizer </t>
  </si>
  <si>
    <t xml:space="preserve"> Chicken Satay</t>
  </si>
  <si>
    <t>361 Pennsylvania Hill</t>
  </si>
  <si>
    <t>SUM</t>
  </si>
  <si>
    <t>Tades Kerbey</t>
  </si>
  <si>
    <t>Apricots Fresh</t>
  </si>
  <si>
    <t>19622 Melody Alley</t>
  </si>
  <si>
    <t>AVERAGE</t>
  </si>
  <si>
    <t>Madlen Larkby</t>
  </si>
  <si>
    <t xml:space="preserve">Artichoke </t>
  </si>
  <si>
    <t xml:space="preserve"> Bottom, Canned</t>
  </si>
  <si>
    <t>93944 Fairfield Terrace</t>
  </si>
  <si>
    <t>MAX</t>
  </si>
  <si>
    <t>Ebba Darleston</t>
  </si>
  <si>
    <t>Bag Stand</t>
  </si>
  <si>
    <t>326 Helena Junction</t>
  </si>
  <si>
    <t>MIN</t>
  </si>
  <si>
    <t>Filide Jakubovski</t>
  </si>
  <si>
    <t xml:space="preserve">Bagel </t>
  </si>
  <si>
    <t xml:space="preserve"> Ched Chs Presliced</t>
  </si>
  <si>
    <t>868 Quincy Circle</t>
  </si>
  <si>
    <t>Staci Florentine</t>
  </si>
  <si>
    <t xml:space="preserve">Bagelers </t>
  </si>
  <si>
    <t xml:space="preserve"> Cinn / Brown</t>
  </si>
  <si>
    <t>8 Dexter Way</t>
  </si>
  <si>
    <t>Rosanne Gorelli</t>
  </si>
  <si>
    <t>Bagels Poppyseed</t>
  </si>
  <si>
    <t>1 Schiller Alley</t>
  </si>
  <si>
    <t>Fonzie Scoines</t>
  </si>
  <si>
    <t xml:space="preserve">Beans </t>
  </si>
  <si>
    <t xml:space="preserve"> Butter Lrg Lima</t>
  </si>
  <si>
    <t>901 Mcguire Trail</t>
  </si>
  <si>
    <t>Kyle Coase</t>
  </si>
  <si>
    <t xml:space="preserve">Beef </t>
  </si>
  <si>
    <t xml:space="preserve"> Rib Roast, Capless</t>
  </si>
  <si>
    <t>66 Rutledge Trail</t>
  </si>
  <si>
    <t>Wynn Lowmass</t>
  </si>
  <si>
    <t xml:space="preserve"> Cooked, Corned</t>
  </si>
  <si>
    <t>88567 Hooker Street</t>
  </si>
  <si>
    <t>Kent Garvin</t>
  </si>
  <si>
    <t>Beef Ground Medium</t>
  </si>
  <si>
    <t>86 Clemons Junction</t>
  </si>
  <si>
    <t>Alessandra Bowditch</t>
  </si>
  <si>
    <t xml:space="preserve">Beer </t>
  </si>
  <si>
    <t xml:space="preserve"> Maudite</t>
  </si>
  <si>
    <t>2 Golden Leaf Avenue</t>
  </si>
  <si>
    <t>Emiline Yelyashev</t>
  </si>
  <si>
    <t xml:space="preserve">Bread </t>
  </si>
  <si>
    <t xml:space="preserve"> Pita, Mini</t>
  </si>
  <si>
    <t>471 Waxwing Plaza</t>
  </si>
  <si>
    <t>Caesar Damiata</t>
  </si>
  <si>
    <t xml:space="preserve"> Multigrain, Loaf</t>
  </si>
  <si>
    <t>31854 Commercial Hill</t>
  </si>
  <si>
    <t>Hebert Lowdwell</t>
  </si>
  <si>
    <t xml:space="preserve"> Crusty Italian Poly</t>
  </si>
  <si>
    <t>3760 Norway Maple Street</t>
  </si>
  <si>
    <t>Marcos Load</t>
  </si>
  <si>
    <t xml:space="preserve"> Corn Muffaleta Onion</t>
  </si>
  <si>
    <t>93153 Green Ridge Place</t>
  </si>
  <si>
    <t>La verne Abrahart</t>
  </si>
  <si>
    <t xml:space="preserve">Butter </t>
  </si>
  <si>
    <t xml:space="preserve"> Salted</t>
  </si>
  <si>
    <t>297 Nobel Place</t>
  </si>
  <si>
    <t>Orsola Pimmocke</t>
  </si>
  <si>
    <t xml:space="preserve">Cake </t>
  </si>
  <si>
    <t xml:space="preserve"> Mini Potato Pancake</t>
  </si>
  <si>
    <t>99782 Pearson Circle</t>
  </si>
  <si>
    <t>Clemence Giacomozzo</t>
  </si>
  <si>
    <t xml:space="preserve">Carbonated Water </t>
  </si>
  <si>
    <t xml:space="preserve"> Strawberry</t>
  </si>
  <si>
    <t>9 Maple Wood Junction</t>
  </si>
  <si>
    <t>Jerrold Plumer</t>
  </si>
  <si>
    <t xml:space="preserve">Carrots </t>
  </si>
  <si>
    <t xml:space="preserve"> Jumbo</t>
  </si>
  <si>
    <t>9324 Gale Hill</t>
  </si>
  <si>
    <t>Boone Matovic</t>
  </si>
  <si>
    <t xml:space="preserve">Cheese </t>
  </si>
  <si>
    <t xml:space="preserve"> Goat</t>
  </si>
  <si>
    <t>941 Coolidge Crossing</t>
  </si>
  <si>
    <t>Locke Silberschatz</t>
  </si>
  <si>
    <t xml:space="preserve"> Feta</t>
  </si>
  <si>
    <t>2 Westridge Alley</t>
  </si>
  <si>
    <t>Daphne Rowett</t>
  </si>
  <si>
    <t xml:space="preserve">Club Soda </t>
  </si>
  <si>
    <t xml:space="preserve"> Schweppes, 355 Ml</t>
  </si>
  <si>
    <t>4 Corben Drive</t>
  </si>
  <si>
    <t>Barris Ruffle</t>
  </si>
  <si>
    <t xml:space="preserve">Cookie Dough </t>
  </si>
  <si>
    <t xml:space="preserve"> Oatmeal Rasin</t>
  </si>
  <si>
    <t>91 Ridgeview Drive</t>
  </si>
  <si>
    <t>Vally Sappy</t>
  </si>
  <si>
    <t>Crackers Cheez It</t>
  </si>
  <si>
    <t>86 Mockingbird Parkway</t>
  </si>
  <si>
    <t>Filbert Darragh</t>
  </si>
  <si>
    <t xml:space="preserve">Croissant, Raw </t>
  </si>
  <si>
    <t xml:space="preserve"> Mini</t>
  </si>
  <si>
    <t>30 Burrows Alley</t>
  </si>
  <si>
    <t>Craggy Teasey</t>
  </si>
  <si>
    <t xml:space="preserve">Doilies </t>
  </si>
  <si>
    <t xml:space="preserve"> 8, Paper</t>
  </si>
  <si>
    <t>68930 Hooker Pass</t>
  </si>
  <si>
    <t>Sybila Vasnetsov</t>
  </si>
  <si>
    <t xml:space="preserve">Eggplant </t>
  </si>
  <si>
    <t xml:space="preserve"> Asian</t>
  </si>
  <si>
    <t>7 Memorial Center</t>
  </si>
  <si>
    <t>Joli Lyffe</t>
  </si>
  <si>
    <t>English Muffin</t>
  </si>
  <si>
    <t>499 Iowa Hill</t>
  </si>
  <si>
    <t>Elia Chittim</t>
  </si>
  <si>
    <t xml:space="preserve">Filling </t>
  </si>
  <si>
    <t xml:space="preserve"> Mince Meat</t>
  </si>
  <si>
    <t>9770 Shelley Drive</t>
  </si>
  <si>
    <t>Layla Annice</t>
  </si>
  <si>
    <t xml:space="preserve">Flower </t>
  </si>
  <si>
    <t xml:space="preserve"> Carnations</t>
  </si>
  <si>
    <t>891 Bellgrove Avenue</t>
  </si>
  <si>
    <t>Silvanus Udey</t>
  </si>
  <si>
    <t xml:space="preserve">Fond </t>
  </si>
  <si>
    <t xml:space="preserve"> Chocolate</t>
  </si>
  <si>
    <t>126 Oak Valley Street</t>
  </si>
  <si>
    <t>Jodi Tiffin</t>
  </si>
  <si>
    <t xml:space="preserve">Fondant </t>
  </si>
  <si>
    <t xml:space="preserve"> Icing</t>
  </si>
  <si>
    <t>7 Pearson Pass</t>
  </si>
  <si>
    <t>Barde Taysbil</t>
  </si>
  <si>
    <t xml:space="preserve">Garbag Bags </t>
  </si>
  <si>
    <t xml:space="preserve"> Black</t>
  </si>
  <si>
    <t>04516 Hoepker Point</t>
  </si>
  <si>
    <t>Verney Bolding</t>
  </si>
  <si>
    <t xml:space="preserve">Garlic </t>
  </si>
  <si>
    <t xml:space="preserve"> Elephant</t>
  </si>
  <si>
    <t>17 Oxford Crossing</t>
  </si>
  <si>
    <t>Lothario Albisser</t>
  </si>
  <si>
    <t xml:space="preserve">Gatorade </t>
  </si>
  <si>
    <t xml:space="preserve"> Lemon Lime</t>
  </si>
  <si>
    <t>427 Cherokee Place</t>
  </si>
  <si>
    <t>Hurley Cavill</t>
  </si>
  <si>
    <t xml:space="preserve">Gingerale </t>
  </si>
  <si>
    <t>732 Springview Avenue</t>
  </si>
  <si>
    <t>Ethan Keoghan</t>
  </si>
  <si>
    <t xml:space="preserve">Grapes </t>
  </si>
  <si>
    <t>9 Mallory Place</t>
  </si>
  <si>
    <t>Ferd Aisman</t>
  </si>
  <si>
    <t xml:space="preserve">Honey </t>
  </si>
  <si>
    <t xml:space="preserve"> Liquid</t>
  </si>
  <si>
    <t>0 Forster Avenue</t>
  </si>
  <si>
    <t>Jessa Paulino</t>
  </si>
  <si>
    <t>4 Schmedeman Plaza</t>
  </si>
  <si>
    <t>Dalton Dawes</t>
  </si>
  <si>
    <t xml:space="preserve">Island Oasis </t>
  </si>
  <si>
    <t>960 Sage Road</t>
  </si>
  <si>
    <t>Siana Rosenwald</t>
  </si>
  <si>
    <t xml:space="preserve"> Sweet And Sour Mix</t>
  </si>
  <si>
    <t>3 Chinook Lane</t>
  </si>
  <si>
    <t>Colene Fletcher</t>
  </si>
  <si>
    <t>93 Gina Way</t>
  </si>
  <si>
    <t>Jeremy Boosey</t>
  </si>
  <si>
    <t xml:space="preserve">Lamb </t>
  </si>
  <si>
    <t xml:space="preserve"> Shoulder, Boneless</t>
  </si>
  <si>
    <t>0 Holy Cross Court</t>
  </si>
  <si>
    <t>Clarabelle Elleyne</t>
  </si>
  <si>
    <t xml:space="preserve"> Leg, Boneless</t>
  </si>
  <si>
    <t>31610 Lerdahl Alley</t>
  </si>
  <si>
    <t>Demetria Donovin</t>
  </si>
  <si>
    <t>Lemon Tarts</t>
  </si>
  <si>
    <t>26909 Bluejay Parkway</t>
  </si>
  <si>
    <t>Clarisse Kleinberer</t>
  </si>
  <si>
    <t xml:space="preserve">Lemonade </t>
  </si>
  <si>
    <t xml:space="preserve"> Mandarin, 591 Ml</t>
  </si>
  <si>
    <t>58 Brickson Park Lane</t>
  </si>
  <si>
    <t>Jerry Winnister</t>
  </si>
  <si>
    <t xml:space="preserve">Lettuce </t>
  </si>
  <si>
    <t xml:space="preserve"> California Mix</t>
  </si>
  <si>
    <t>3 Basil Junction</t>
  </si>
  <si>
    <t>Hedvige Gaul</t>
  </si>
  <si>
    <t xml:space="preserve">Lid Tray </t>
  </si>
  <si>
    <t xml:space="preserve"> 12in Dome</t>
  </si>
  <si>
    <t>63605 Surrey Way</t>
  </si>
  <si>
    <t>Agosto Gibbetts</t>
  </si>
  <si>
    <t xml:space="preserve">Longos </t>
  </si>
  <si>
    <t xml:space="preserve"> Grilled Chicken With</t>
  </si>
  <si>
    <t>8622 Rieder Terrace</t>
  </si>
  <si>
    <t>Cedric Sawkin</t>
  </si>
  <si>
    <t>Mangoes</t>
  </si>
  <si>
    <t>27900 Forest Dale Court</t>
  </si>
  <si>
    <t>Anitra Showell</t>
  </si>
  <si>
    <t xml:space="preserve">Marsala </t>
  </si>
  <si>
    <t xml:space="preserve"> Sperone, Fine, D.o.c.</t>
  </si>
  <si>
    <t>7 Sunbrook Drive</t>
  </si>
  <si>
    <t>Kendra Grossman</t>
  </si>
  <si>
    <t xml:space="preserve">Milk </t>
  </si>
  <si>
    <t xml:space="preserve"> Chocolate 500ml</t>
  </si>
  <si>
    <t>00 Glacier Hill Junction</t>
  </si>
  <si>
    <t>Maighdiln Harbord</t>
  </si>
  <si>
    <t xml:space="preserve">Mushroom </t>
  </si>
  <si>
    <t xml:space="preserve"> Shitake, Dry</t>
  </si>
  <si>
    <t>49326 Trailsway Way</t>
  </si>
  <si>
    <t>Ambrose Scotcher</t>
  </si>
  <si>
    <t xml:space="preserve"> Morels, Dry</t>
  </si>
  <si>
    <t>26855 Coleman Street</t>
  </si>
  <si>
    <t>Eolande Devin</t>
  </si>
  <si>
    <t xml:space="preserve">Mushrooms </t>
  </si>
  <si>
    <t xml:space="preserve"> Black, Dried</t>
  </si>
  <si>
    <t>2 Cascade Drive</t>
  </si>
  <si>
    <t>Mira Dake</t>
  </si>
  <si>
    <t>Nacho Chips</t>
  </si>
  <si>
    <t>1 American Terrace</t>
  </si>
  <si>
    <t>Rasla Shea</t>
  </si>
  <si>
    <t>Nantucket Pine Orangebanana</t>
  </si>
  <si>
    <t>38116 Declaration Place</t>
  </si>
  <si>
    <t>Claudian Kerfod</t>
  </si>
  <si>
    <t xml:space="preserve">Napkin </t>
  </si>
  <si>
    <t xml:space="preserve"> Beverage 1 Ply</t>
  </si>
  <si>
    <t>60 Gina Street</t>
  </si>
  <si>
    <t>Rona Frostdyke</t>
  </si>
  <si>
    <t xml:space="preserve">Oil </t>
  </si>
  <si>
    <t xml:space="preserve"> Olive</t>
  </si>
  <si>
    <t>5 Reinke Trail</t>
  </si>
  <si>
    <t>Elihu Divisek</t>
  </si>
  <si>
    <t xml:space="preserve">Olives </t>
  </si>
  <si>
    <t xml:space="preserve"> Nicoise</t>
  </si>
  <si>
    <t>7316 Hansons Hill</t>
  </si>
  <si>
    <t>Lazar Chichgar</t>
  </si>
  <si>
    <t xml:space="preserve">Onions </t>
  </si>
  <si>
    <t xml:space="preserve"> Green</t>
  </si>
  <si>
    <t>4 Crescent Oaks Junction</t>
  </si>
  <si>
    <t>Licha Broggini</t>
  </si>
  <si>
    <t xml:space="preserve">Pasta </t>
  </si>
  <si>
    <t xml:space="preserve"> Fusili, Dry</t>
  </si>
  <si>
    <t>2 Kings Lane</t>
  </si>
  <si>
    <t>Winifred Kent</t>
  </si>
  <si>
    <t xml:space="preserve">Pastry </t>
  </si>
  <si>
    <t xml:space="preserve"> Banana Muffin Mini</t>
  </si>
  <si>
    <t>92 North Park</t>
  </si>
  <si>
    <t>Colas Cohalan</t>
  </si>
  <si>
    <t xml:space="preserve">Pepper </t>
  </si>
  <si>
    <t xml:space="preserve"> White, Whole</t>
  </si>
  <si>
    <t>37104 Melvin Terrace</t>
  </si>
  <si>
    <t>Hattie Stockow</t>
  </si>
  <si>
    <t xml:space="preserve">Pie Box </t>
  </si>
  <si>
    <t xml:space="preserve"> Cello Window 2.5</t>
  </si>
  <si>
    <t>27 Birchwood Junction</t>
  </si>
  <si>
    <t>Giacopo Berens</t>
  </si>
  <si>
    <t xml:space="preserve">Piping Jelly </t>
  </si>
  <si>
    <t xml:space="preserve"> All Colours</t>
  </si>
  <si>
    <t>080 Upham Parkway</t>
  </si>
  <si>
    <t>Cristal Grigg</t>
  </si>
  <si>
    <t xml:space="preserve">Pop </t>
  </si>
  <si>
    <t xml:space="preserve"> Club Soda Can</t>
  </si>
  <si>
    <t>01 Trailsway Plaza</t>
  </si>
  <si>
    <t>Clem Castiblanco</t>
  </si>
  <si>
    <t xml:space="preserve">Pork </t>
  </si>
  <si>
    <t xml:space="preserve"> Loin, Boneless</t>
  </si>
  <si>
    <t>6 Thierer Park</t>
  </si>
  <si>
    <t>Thorn Feather</t>
  </si>
  <si>
    <t xml:space="preserve">Potato </t>
  </si>
  <si>
    <t xml:space="preserve"> Sweet</t>
  </si>
  <si>
    <t>736 Sunnyside Junction</t>
  </si>
  <si>
    <t>Fidelity Soall</t>
  </si>
  <si>
    <t xml:space="preserve">Rabbit </t>
  </si>
  <si>
    <t xml:space="preserve"> Whole</t>
  </si>
  <si>
    <t>842 Marcy Avenue</t>
  </si>
  <si>
    <t>Jamesy Godart</t>
  </si>
  <si>
    <t>Rolled Oats</t>
  </si>
  <si>
    <t>58328 Express Parkway</t>
  </si>
  <si>
    <t>Stafford Drepp</t>
  </si>
  <si>
    <t xml:space="preserve">Rosemary </t>
  </si>
  <si>
    <t xml:space="preserve"> Dry</t>
  </si>
  <si>
    <t>4 Forest Dale Road</t>
  </si>
  <si>
    <t>Wyatt McGing</t>
  </si>
  <si>
    <t xml:space="preserve">Salmon </t>
  </si>
  <si>
    <t xml:space="preserve"> Whole, 4  6 Pounds</t>
  </si>
  <si>
    <t>5628 Chinook Parkway</t>
  </si>
  <si>
    <t>Willard Dymoke</t>
  </si>
  <si>
    <t xml:space="preserve"> Atlantic, Skin On</t>
  </si>
  <si>
    <t>78 Ruskin Center</t>
  </si>
  <si>
    <t>Devan Sickling</t>
  </si>
  <si>
    <t xml:space="preserve">Salt And Pepper Mix </t>
  </si>
  <si>
    <t>4 Butternut Avenue</t>
  </si>
  <si>
    <t>Clement Defont</t>
  </si>
  <si>
    <t xml:space="preserve">Shiratamako </t>
  </si>
  <si>
    <t xml:space="preserve"> Rice Flour</t>
  </si>
  <si>
    <t>1484 Harbort Court</t>
  </si>
  <si>
    <t>Dan Regis</t>
  </si>
  <si>
    <t xml:space="preserve">Shrimp </t>
  </si>
  <si>
    <t xml:space="preserve"> 16/20, Iqf, Shell On</t>
  </si>
  <si>
    <t>7843 Maryland Street</t>
  </si>
  <si>
    <t>Margalit McGreil</t>
  </si>
  <si>
    <t xml:space="preserve">Sloe Gin </t>
  </si>
  <si>
    <t xml:space="preserve"> Mcguinness</t>
  </si>
  <si>
    <t>16071 North Pass</t>
  </si>
  <si>
    <t>Estella Blackesland</t>
  </si>
  <si>
    <t xml:space="preserve">Sobe </t>
  </si>
  <si>
    <t xml:space="preserve"> Berry Energy</t>
  </si>
  <si>
    <t>21519 Northport Center</t>
  </si>
  <si>
    <t>Kristofor Fant</t>
  </si>
  <si>
    <t>Soho Lychee Liqueur</t>
  </si>
  <si>
    <t>076 Heath Place</t>
  </si>
  <si>
    <t>Lucille Akitt</t>
  </si>
  <si>
    <t xml:space="preserve">Soup </t>
  </si>
  <si>
    <t xml:space="preserve"> Canadian Pea, Dry Mix</t>
  </si>
  <si>
    <t>780 Gulseth Point</t>
  </si>
  <si>
    <t>Hakeem Beeton</t>
  </si>
  <si>
    <t xml:space="preserve"> Campbells Chili</t>
  </si>
  <si>
    <t>030 Messerschmidt Court</t>
  </si>
  <si>
    <t>Worth Hartnup</t>
  </si>
  <si>
    <t xml:space="preserve"> Knorr, Chicken Noodle</t>
  </si>
  <si>
    <t>0462 Esker Road</t>
  </si>
  <si>
    <t>Derrick Langton</t>
  </si>
  <si>
    <t>Soupcontfoam16oz 116con</t>
  </si>
  <si>
    <t>46109 Garrison Alley</t>
  </si>
  <si>
    <t>Robbi Weavers</t>
  </si>
  <si>
    <t>8 Colorado Street</t>
  </si>
  <si>
    <t>Lamond Metschke</t>
  </si>
  <si>
    <t>Soy Protein</t>
  </si>
  <si>
    <t>69899 Moulton Parkway</t>
  </si>
  <si>
    <t>Verge Fellman</t>
  </si>
  <si>
    <t xml:space="preserve">Spice </t>
  </si>
  <si>
    <t xml:space="preserve"> Paprika</t>
  </si>
  <si>
    <t>23773 Prairie Rose Point</t>
  </si>
  <si>
    <t>Jarrid McGooch</t>
  </si>
  <si>
    <t>Spring Roll Wrappers</t>
  </si>
  <si>
    <t>76461 Katie Road</t>
  </si>
  <si>
    <t>Lorain Keneford</t>
  </si>
  <si>
    <t>The Pop Shoppe Pinapple</t>
  </si>
  <si>
    <t>3 Muir Drive</t>
  </si>
  <si>
    <t>Ase McCallion</t>
  </si>
  <si>
    <t xml:space="preserve">Trout </t>
  </si>
  <si>
    <t xml:space="preserve"> Rainbow, Fresh</t>
  </si>
  <si>
    <t>5 Melrose Center</t>
  </si>
  <si>
    <t>Greggory Garland</t>
  </si>
  <si>
    <t>Trout Rainbow Whole</t>
  </si>
  <si>
    <t>490 Gina Place</t>
  </si>
  <si>
    <t>Shayne Espinho</t>
  </si>
  <si>
    <t xml:space="preserve">Truffle Shells </t>
  </si>
  <si>
    <t xml:space="preserve"> White Chocolate</t>
  </si>
  <si>
    <t>3547 Portage Place</t>
  </si>
  <si>
    <t>Wylma Gerrish</t>
  </si>
  <si>
    <t xml:space="preserve">Veal </t>
  </si>
  <si>
    <t xml:space="preserve"> Sweetbread</t>
  </si>
  <si>
    <t>50 Grover Point</t>
  </si>
  <si>
    <t>Carina Dietzler</t>
  </si>
  <si>
    <t xml:space="preserve">Venison </t>
  </si>
  <si>
    <t xml:space="preserve"> Racks Frenched</t>
  </si>
  <si>
    <t>974 Dixon Point</t>
  </si>
  <si>
    <t>Dory Frow</t>
  </si>
  <si>
    <t xml:space="preserve">Vinegar </t>
  </si>
  <si>
    <t xml:space="preserve"> Tarragon</t>
  </si>
  <si>
    <t>0 Prairie Rose Avenue</t>
  </si>
  <si>
    <t>Mattheus Bohlsen</t>
  </si>
  <si>
    <t xml:space="preserve"> Sherry</t>
  </si>
  <si>
    <t>98120 Eagan Terrace</t>
  </si>
  <si>
    <t>James Girtin</t>
  </si>
  <si>
    <t xml:space="preserve">Vodka </t>
  </si>
  <si>
    <t xml:space="preserve"> Lemon, Absolut</t>
  </si>
  <si>
    <t>1364 Granby Court</t>
  </si>
  <si>
    <t>Uriel Balaizot</t>
  </si>
  <si>
    <t xml:space="preserve">Whmis </t>
  </si>
  <si>
    <t xml:space="preserve"> Spray Bottle Trigger</t>
  </si>
  <si>
    <t>2 Moulton Street</t>
  </si>
  <si>
    <t>Artemas Buffey</t>
  </si>
  <si>
    <t xml:space="preserve">Wine </t>
  </si>
  <si>
    <t xml:space="preserve"> Alsace Riesling Reserve</t>
  </si>
  <si>
    <t>7 Jenifer Parkway</t>
  </si>
  <si>
    <t>rank_desc</t>
  </si>
  <si>
    <t>rank_asc</t>
  </si>
  <si>
    <t>IF_true</t>
  </si>
  <si>
    <t>IF_false</t>
  </si>
  <si>
    <t>greater_than_avg</t>
  </si>
  <si>
    <t>left_address</t>
  </si>
  <si>
    <t>right_address</t>
  </si>
  <si>
    <t>mid_address</t>
  </si>
  <si>
    <t>AND</t>
  </si>
  <si>
    <t>OR</t>
  </si>
  <si>
    <t>greather_than_50_and_less_than_70</t>
  </si>
  <si>
    <t>gender</t>
  </si>
  <si>
    <t>Female</t>
  </si>
  <si>
    <t>Male</t>
  </si>
  <si>
    <t>if_left</t>
  </si>
  <si>
    <t>John Wick</t>
  </si>
  <si>
    <t>Computer</t>
  </si>
  <si>
    <t>Laptop HP</t>
  </si>
  <si>
    <t>17 Baker Street</t>
  </si>
  <si>
    <t>LGBTQ+</t>
  </si>
  <si>
    <t>John Q</t>
  </si>
  <si>
    <t>VLOOKUP</t>
  </si>
  <si>
    <t>HLOOKUP</t>
  </si>
  <si>
    <t>Mark</t>
  </si>
  <si>
    <t>Honor</t>
  </si>
  <si>
    <t>Third-Class Honours</t>
  </si>
  <si>
    <t>Lower Second-Class Honours</t>
  </si>
  <si>
    <t>Upper Second-Class Honours</t>
  </si>
  <si>
    <t>First-Class Honours</t>
  </si>
  <si>
    <t>Fail</t>
  </si>
  <si>
    <t>Paul A</t>
  </si>
  <si>
    <t>ROW</t>
  </si>
  <si>
    <t>ROWS</t>
  </si>
  <si>
    <t>COUNT</t>
  </si>
  <si>
    <t>COUNTA</t>
  </si>
  <si>
    <t>COUNTBLANK</t>
  </si>
  <si>
    <t>Row Labels</t>
  </si>
  <si>
    <t>Grand Total</t>
  </si>
  <si>
    <t>Count of gender</t>
  </si>
  <si>
    <t>Sum of price</t>
  </si>
  <si>
    <t>SUMIF</t>
  </si>
  <si>
    <t>SUMIFS</t>
  </si>
  <si>
    <t>COUNTIF</t>
  </si>
  <si>
    <t>COUNTIFS</t>
  </si>
  <si>
    <t>Sum All prices if the price &gt; 20</t>
  </si>
  <si>
    <t>Sum all prices if gender = male</t>
  </si>
  <si>
    <t>Sum all prices if gender is not Male</t>
  </si>
  <si>
    <t>=</t>
  </si>
  <si>
    <t>&gt;</t>
  </si>
  <si>
    <t>&gt;=</t>
  </si>
  <si>
    <t>&lt;</t>
  </si>
  <si>
    <t>&lt;=</t>
  </si>
  <si>
    <t>&lt;&gt;</t>
  </si>
  <si>
    <t>NOT</t>
  </si>
  <si>
    <t>Sum all prices if gender is male and price &gt; 20</t>
  </si>
  <si>
    <t>The number of customers is Male</t>
  </si>
  <si>
    <t>The number of customers is NOT Male</t>
  </si>
  <si>
    <t>The number of selling items that customers are Male, the price is greater than 20 and less than 50</t>
  </si>
  <si>
    <t>The number of pricing is greater than 50 and customers are Male</t>
  </si>
  <si>
    <t>NPV</t>
  </si>
  <si>
    <t>Kỳ (năm)</t>
  </si>
  <si>
    <t>Dòng tiền</t>
  </si>
  <si>
    <t>Lạm phát</t>
  </si>
  <si>
    <t>Một người gửi vào ngân hàng $10,000 với lãi suất 5% một năm, và trong các năm sau, mỗi năm gửi thêm vào $200, trong 10 năm. Vậy khi đáo hạn (10 năm sau), người đó sẽ có được số tiền là bao nhiêu ?</t>
  </si>
  <si>
    <t>Lãi suất</t>
  </si>
  <si>
    <t>Tiền gửi ban đầu</t>
  </si>
  <si>
    <t>Mỗi năm gửi thêm</t>
  </si>
  <si>
    <t>Kỳ hạn</t>
  </si>
  <si>
    <t>Bạn muốn có một số tiền tiết kiệm là $3,000,000 sau 10 năm, biết rằng lãi suất ngân hàng là 8% một năm, vậy từ bây giờ bạn phải gửi vào ngân hàng bao nhiêu tiền ?</t>
  </si>
  <si>
    <t>Kỳ hạn (năm)</t>
  </si>
  <si>
    <t>Số tiền mong muốn</t>
  </si>
  <si>
    <t>PV (Present Value)</t>
  </si>
  <si>
    <t>FV (Future Value)</t>
  </si>
  <si>
    <t>Bạn muốn có một số tiền tiết kiệm là $50,000,000 sau 10 năm, biết rằng lãi suất (không đổi) của ngân hàng là 12% một năm, vậy từ bây giờ, hằng tháng bạn phải gửi vào ngân hàng bao nhiêu tiền ?</t>
  </si>
  <si>
    <t>Lãi suất (/ năm)</t>
  </si>
  <si>
    <t>Lãi suất (/ tháng)</t>
  </si>
  <si>
    <t>Kỳ hạn (tháng)</t>
  </si>
  <si>
    <t>PMT</t>
  </si>
  <si>
    <t>Giả sử bạn muốn vay trả góp $8,000,000 trong 4 năm, nhân viên ngân hàng sau một hồi tính toán, phán rằng mỗi tháng bạn phải trả cả gốc lẫn lãi là $200,000. Vậy ngân hàng đó tính lãi suất hằng tháng (hoặc lãi suất hằng năm) cho bạn là bao nhiêu ?</t>
  </si>
  <si>
    <t>Số tiền vay</t>
  </si>
  <si>
    <t>Số tiền trả hàng tháng</t>
  </si>
  <si>
    <t>RATE (năm)</t>
  </si>
  <si>
    <t>RATE (tháng)</t>
  </si>
  <si>
    <t>Lãi suất (năm)</t>
  </si>
  <si>
    <t>Số tiền trả hàng năm</t>
  </si>
  <si>
    <t>NPV (Net Present Value)</t>
  </si>
  <si>
    <t>Sales</t>
  </si>
  <si>
    <t>Region</t>
  </si>
  <si>
    <t>Date</t>
  </si>
  <si>
    <t>Amount</t>
  </si>
  <si>
    <t>North</t>
  </si>
  <si>
    <t>South</t>
  </si>
  <si>
    <r>
      <t xml:space="preserve">Use </t>
    </r>
    <r>
      <rPr>
        <sz val="9.6"/>
        <color theme="1"/>
        <rFont val="Courier New"/>
        <family val="3"/>
      </rPr>
      <t>SUMIFS</t>
    </r>
    <r>
      <rPr>
        <sz val="10"/>
        <color rgb="FF374151"/>
        <rFont val="Segoe UI"/>
        <family val="2"/>
      </rPr>
      <t xml:space="preserve"> to sum the amounts where the region is "North" and the date is "Jan-02."</t>
    </r>
  </si>
  <si>
    <r>
      <t xml:space="preserve">Use </t>
    </r>
    <r>
      <rPr>
        <sz val="9.6"/>
        <color theme="1"/>
        <rFont val="Courier New"/>
        <family val="3"/>
      </rPr>
      <t>COUNTIF</t>
    </r>
    <r>
      <rPr>
        <sz val="10"/>
        <color rgb="FF374151"/>
        <rFont val="Segoe UI"/>
        <family val="2"/>
      </rPr>
      <t xml:space="preserve"> to count the number of sales where the amount is greater than or equal to 50.</t>
    </r>
  </si>
  <si>
    <r>
      <t xml:space="preserve">Use </t>
    </r>
    <r>
      <rPr>
        <sz val="9.6"/>
        <color theme="1"/>
        <rFont val="Courier New"/>
        <family val="3"/>
      </rPr>
      <t>COUNTIFS</t>
    </r>
    <r>
      <rPr>
        <sz val="10"/>
        <color rgb="FF374151"/>
        <rFont val="Segoe UI"/>
        <family val="2"/>
      </rPr>
      <t xml:space="preserve"> to count the number of sales where the region is "South" and the amount is greater than or equal to 40.</t>
    </r>
  </si>
  <si>
    <t>DATA</t>
  </si>
  <si>
    <r>
      <t xml:space="preserve">Use </t>
    </r>
    <r>
      <rPr>
        <sz val="9.6"/>
        <color theme="1"/>
        <rFont val="Courier New"/>
        <family val="3"/>
      </rPr>
      <t>SUMIF</t>
    </r>
    <r>
      <rPr>
        <sz val="10"/>
        <color rgb="FF374151"/>
        <rFont val="Segoe UI"/>
        <family val="2"/>
      </rPr>
      <t xml:space="preserve"> to sum the amounts where the region is "North", and "South"</t>
    </r>
  </si>
  <si>
    <t>Giả sử bạn mua một miếng đất với giá là $1,000,000 và sau 4 năm, bạn bán được $1,200,000. Vậy bạn lời hay lỗ với lãi suất ngân hàng hàng năm không đổi là 6%</t>
  </si>
  <si>
    <t>Lãi suất ( theo năm)</t>
  </si>
  <si>
    <t>Số năm</t>
  </si>
  <si>
    <t>Tiền đầu tư</t>
  </si>
  <si>
    <t>Tiền bán</t>
  </si>
  <si>
    <t>Tiền chênh lệch</t>
  </si>
  <si>
    <t>FV của tiền đầu tư nếu gửi gân hàng</t>
  </si>
  <si>
    <t>GHI CHÚ</t>
  </si>
  <si>
    <t>rate</t>
  </si>
  <si>
    <t>lãi suất</t>
  </si>
  <si>
    <t>nper</t>
  </si>
  <si>
    <t>kỳ hạn (theo tháng hoặc theo năm)</t>
  </si>
  <si>
    <t>pmt</t>
  </si>
  <si>
    <t>số tiền thanh toán theo kỳ hạn (hoặc bỏ thêm)</t>
  </si>
  <si>
    <t>pv</t>
  </si>
  <si>
    <t>present value (số tiền đầu tư ban đầu)</t>
  </si>
  <si>
    <t>FV của tiền đầu tư ban đầu nếu bỏ vào ngân hàng</t>
  </si>
  <si>
    <t>Số tiền trả ban đầu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</si>
</sst>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¥-411]#,##0.00"/>
    <numFmt numFmtId="165" formatCode="[$VND]\ #,##0_);[Red]\([$VND]\ #,##0\)"/>
    <numFmt numFmtId="166" formatCode="_(&quot;$&quot;* #,##0_);_(&quot;$&quot;* \(#,##0\);_(&quot;$&quot;* &quot;-&quot;??_);_(@_)"/>
    <numFmt numFmtId="167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2"/>
    </font>
    <font>
      <sz val="18"/>
      <color theme="3"/>
      <name val="Calibri Light"/>
      <family val="2"/>
      <scheme val="major"/>
    </font>
    <font>
      <sz val="10"/>
      <color rgb="FF000000"/>
      <name val="Arial"/>
      <family val="2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374151"/>
      <name val="Segoe UI"/>
      <family val="2"/>
    </font>
    <font>
      <sz val="9.6"/>
      <color theme="1"/>
      <name val="Courier New"/>
      <family val="3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2" borderId="1" applyNumberFormat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1" applyFont="1"/>
    <xf numFmtId="0" fontId="1" fillId="0" borderId="0" xfId="0" applyFont="1"/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0" xfId="1"/>
    <xf numFmtId="0" fontId="4" fillId="0" borderId="0" xfId="1" applyFont="1"/>
    <xf numFmtId="0" fontId="5" fillId="0" borderId="0" xfId="2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2" borderId="1" xfId="3" applyAlignment="1">
      <alignment horizontal="left" vertical="center"/>
    </xf>
    <xf numFmtId="9" fontId="0" fillId="0" borderId="0" xfId="0" applyNumberFormat="1"/>
    <xf numFmtId="8" fontId="0" fillId="0" borderId="0" xfId="0" applyNumberFormat="1"/>
    <xf numFmtId="165" fontId="0" fillId="0" borderId="0" xfId="0" applyNumberFormat="1"/>
    <xf numFmtId="166" fontId="0" fillId="0" borderId="0" xfId="4" applyNumberFormat="1" applyFont="1"/>
    <xf numFmtId="8" fontId="1" fillId="0" borderId="0" xfId="0" applyNumberFormat="1" applyFont="1"/>
    <xf numFmtId="10" fontId="0" fillId="0" borderId="0" xfId="0" applyNumberFormat="1"/>
    <xf numFmtId="167" fontId="0" fillId="0" borderId="0" xfId="5" applyNumberFormat="1" applyFont="1"/>
    <xf numFmtId="10" fontId="0" fillId="0" borderId="0" xfId="5" applyNumberFormat="1" applyFont="1"/>
    <xf numFmtId="0" fontId="11" fillId="0" borderId="0" xfId="0" applyFont="1" applyAlignment="1">
      <alignment horizontal="left" wrapText="1"/>
    </xf>
    <xf numFmtId="6" fontId="0" fillId="0" borderId="0" xfId="0" applyNumberFormat="1"/>
    <xf numFmtId="0" fontId="11" fillId="0" borderId="0" xfId="0" applyFont="1" applyAlignment="1">
      <alignment horizontal="left" vertical="center" wrapText="1"/>
    </xf>
    <xf numFmtId="17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6" fontId="0" fillId="0" borderId="0" xfId="0" applyNumberFormat="1" applyAlignment="1">
      <alignment horizontal="right"/>
    </xf>
    <xf numFmtId="0" fontId="1" fillId="0" borderId="0" xfId="0" applyFont="1" applyAlignment="1">
      <alignment wrapText="1"/>
    </xf>
    <xf numFmtId="8" fontId="0" fillId="0" borderId="0" xfId="0" applyNumberFormat="1" applyAlignment="1">
      <alignment vertical="center"/>
    </xf>
    <xf numFmtId="0" fontId="1" fillId="0" borderId="0" xfId="0" applyFont="1" applyAlignment="1">
      <alignment horizontal="right"/>
    </xf>
    <xf numFmtId="0" fontId="14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6">
    <cellStyle name="Calculation" xfId="3" builtinId="22"/>
    <cellStyle name="Currency" xfId="4" builtinId="4"/>
    <cellStyle name="Normal" xfId="0" builtinId="0"/>
    <cellStyle name="Normal 2" xfId="1" xr:uid="{F4BD661A-E254-43D3-BD6C-C449E29C036C}"/>
    <cellStyle name="Percent" xfId="5" builtinId="5"/>
    <cellStyle name="Title" xfId="2" builtinId="15"/>
  </cellStyles>
  <dxfs count="1"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[EXCEL-WEEK-04.xlsx]pivot_table!PivotTable1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C-4FE0-9043-6BC9A65243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C-4FE0-9043-6BC9A65243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C-4FE0-9043-6BC9A6524369}"/>
              </c:ext>
            </c:extLst>
          </c:dPt>
          <c:cat>
            <c:strRef>
              <c:f>pivot_table!$B$3:$B$6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LGBTQ+</c:v>
                </c:pt>
              </c:strCache>
            </c:strRef>
          </c:cat>
          <c:val>
            <c:numRef>
              <c:f>pivot_table!$C$3:$C$6</c:f>
              <c:numCache>
                <c:formatCode>General</c:formatCode>
                <c:ptCount val="3"/>
                <c:pt idx="0">
                  <c:v>45</c:v>
                </c:pt>
                <c:pt idx="1">
                  <c:v>40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3-476A-83B2-A43C0FD2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[EXCEL-WEEK-04.xlsx]pivot_table!PivotTable1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pivot_table!$B$3:$B$6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LGBTQ+</c:v>
                </c:pt>
              </c:strCache>
            </c:strRef>
          </c:cat>
          <c:val>
            <c:numRef>
              <c:f>pivot_table!$C$3:$C$6</c:f>
              <c:numCache>
                <c:formatCode>General</c:formatCode>
                <c:ptCount val="3"/>
                <c:pt idx="0">
                  <c:v>45</c:v>
                </c:pt>
                <c:pt idx="1">
                  <c:v>40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C-4AF8-AF6B-0F4288DE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18896"/>
        <c:axId val="554827632"/>
      </c:barChart>
      <c:catAx>
        <c:axId val="5548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27632"/>
        <c:crosses val="autoZero"/>
        <c:auto val="1"/>
        <c:lblAlgn val="ctr"/>
        <c:lblOffset val="100"/>
        <c:noMultiLvlLbl val="0"/>
      </c:catAx>
      <c:valAx>
        <c:axId val="5548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[EXCEL-WEEK-04.xlsx]pivot_table!PivotTable2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pivot_table!$B$25:$B$111</c:f>
              <c:strCache>
                <c:ptCount val="86"/>
                <c:pt idx="0">
                  <c:v>Island Oasis </c:v>
                </c:pt>
                <c:pt idx="1">
                  <c:v>Bread </c:v>
                </c:pt>
                <c:pt idx="2">
                  <c:v>Salmon </c:v>
                </c:pt>
                <c:pt idx="3">
                  <c:v>Honey </c:v>
                </c:pt>
                <c:pt idx="4">
                  <c:v>Soup </c:v>
                </c:pt>
                <c:pt idx="5">
                  <c:v>Mushroom </c:v>
                </c:pt>
                <c:pt idx="6">
                  <c:v>Soupcontfoam16oz 116con</c:v>
                </c:pt>
                <c:pt idx="7">
                  <c:v>Cheese </c:v>
                </c:pt>
                <c:pt idx="8">
                  <c:v>Lamb </c:v>
                </c:pt>
                <c:pt idx="9">
                  <c:v>Garlic </c:v>
                </c:pt>
                <c:pt idx="10">
                  <c:v>Apricots Fresh</c:v>
                </c:pt>
                <c:pt idx="11">
                  <c:v>Carbonated Water </c:v>
                </c:pt>
                <c:pt idx="12">
                  <c:v>Truffle Shells </c:v>
                </c:pt>
                <c:pt idx="13">
                  <c:v>Pork </c:v>
                </c:pt>
                <c:pt idx="14">
                  <c:v>Pie Box </c:v>
                </c:pt>
                <c:pt idx="15">
                  <c:v>Bag Stand</c:v>
                </c:pt>
                <c:pt idx="16">
                  <c:v>Mushrooms </c:v>
                </c:pt>
                <c:pt idx="17">
                  <c:v>Beef Ground Medium</c:v>
                </c:pt>
                <c:pt idx="18">
                  <c:v>Nantucket Pine Orangebanana</c:v>
                </c:pt>
                <c:pt idx="19">
                  <c:v>Pastry </c:v>
                </c:pt>
                <c:pt idx="20">
                  <c:v>Pepper </c:v>
                </c:pt>
                <c:pt idx="21">
                  <c:v>Longos </c:v>
                </c:pt>
                <c:pt idx="22">
                  <c:v>Napkin </c:v>
                </c:pt>
                <c:pt idx="23">
                  <c:v>Doilies </c:v>
                </c:pt>
                <c:pt idx="24">
                  <c:v>Mangoes</c:v>
                </c:pt>
                <c:pt idx="25">
                  <c:v>Bagel </c:v>
                </c:pt>
                <c:pt idx="26">
                  <c:v>Lettuce </c:v>
                </c:pt>
                <c:pt idx="27">
                  <c:v>Potato </c:v>
                </c:pt>
                <c:pt idx="28">
                  <c:v>Sobe </c:v>
                </c:pt>
                <c:pt idx="29">
                  <c:v>Bagelers </c:v>
                </c:pt>
                <c:pt idx="30">
                  <c:v>Lemon Tarts</c:v>
                </c:pt>
                <c:pt idx="31">
                  <c:v>Appetizer </c:v>
                </c:pt>
                <c:pt idx="32">
                  <c:v>Venison </c:v>
                </c:pt>
                <c:pt idx="33">
                  <c:v>Grapes </c:v>
                </c:pt>
                <c:pt idx="34">
                  <c:v>Computer</c:v>
                </c:pt>
                <c:pt idx="35">
                  <c:v>Soy Protein</c:v>
                </c:pt>
                <c:pt idx="36">
                  <c:v>Onions </c:v>
                </c:pt>
                <c:pt idx="37">
                  <c:v>Marsala </c:v>
                </c:pt>
                <c:pt idx="38">
                  <c:v>Piping Jelly </c:v>
                </c:pt>
                <c:pt idx="39">
                  <c:v>Soho Lychee Liqueur</c:v>
                </c:pt>
                <c:pt idx="40">
                  <c:v>Bagels Poppyseed</c:v>
                </c:pt>
                <c:pt idx="41">
                  <c:v>Garbag Bags </c:v>
                </c:pt>
                <c:pt idx="42">
                  <c:v>Oil </c:v>
                </c:pt>
                <c:pt idx="43">
                  <c:v>Wine </c:v>
                </c:pt>
                <c:pt idx="44">
                  <c:v>Lemonade </c:v>
                </c:pt>
                <c:pt idx="45">
                  <c:v>Salt And Pepper Mix </c:v>
                </c:pt>
                <c:pt idx="46">
                  <c:v>Filling </c:v>
                </c:pt>
                <c:pt idx="47">
                  <c:v>Veal </c:v>
                </c:pt>
                <c:pt idx="48">
                  <c:v>Carrots </c:v>
                </c:pt>
                <c:pt idx="49">
                  <c:v>Crackers Cheez It</c:v>
                </c:pt>
                <c:pt idx="50">
                  <c:v>Beer </c:v>
                </c:pt>
                <c:pt idx="51">
                  <c:v>Rosemary </c:v>
                </c:pt>
                <c:pt idx="52">
                  <c:v>Gingerale </c:v>
                </c:pt>
                <c:pt idx="53">
                  <c:v>Fond </c:v>
                </c:pt>
                <c:pt idx="54">
                  <c:v>Fondant </c:v>
                </c:pt>
                <c:pt idx="55">
                  <c:v>The Pop Shoppe Pinapple</c:v>
                </c:pt>
                <c:pt idx="56">
                  <c:v>Trout Rainbow Whole</c:v>
                </c:pt>
                <c:pt idx="57">
                  <c:v>Nacho Chips</c:v>
                </c:pt>
                <c:pt idx="58">
                  <c:v>Cake </c:v>
                </c:pt>
                <c:pt idx="59">
                  <c:v>Vinegar </c:v>
                </c:pt>
                <c:pt idx="60">
                  <c:v>Flower </c:v>
                </c:pt>
                <c:pt idx="61">
                  <c:v>Club Soda </c:v>
                </c:pt>
                <c:pt idx="62">
                  <c:v>Pasta </c:v>
                </c:pt>
                <c:pt idx="63">
                  <c:v>Milk </c:v>
                </c:pt>
                <c:pt idx="64">
                  <c:v>Cookie Dough </c:v>
                </c:pt>
                <c:pt idx="65">
                  <c:v>Gatorade </c:v>
                </c:pt>
                <c:pt idx="66">
                  <c:v>Spice </c:v>
                </c:pt>
                <c:pt idx="67">
                  <c:v>Beef </c:v>
                </c:pt>
                <c:pt idx="68">
                  <c:v>Lid Tray </c:v>
                </c:pt>
                <c:pt idx="69">
                  <c:v>Vodka </c:v>
                </c:pt>
                <c:pt idx="70">
                  <c:v>Shrimp </c:v>
                </c:pt>
                <c:pt idx="71">
                  <c:v>Spring Roll Wrappers</c:v>
                </c:pt>
                <c:pt idx="72">
                  <c:v>Pop </c:v>
                </c:pt>
                <c:pt idx="73">
                  <c:v>English Muffin</c:v>
                </c:pt>
                <c:pt idx="74">
                  <c:v>Rabbit </c:v>
                </c:pt>
                <c:pt idx="75">
                  <c:v>Whmis </c:v>
                </c:pt>
                <c:pt idx="76">
                  <c:v>Butter </c:v>
                </c:pt>
                <c:pt idx="77">
                  <c:v>Eggplant </c:v>
                </c:pt>
                <c:pt idx="78">
                  <c:v>Sloe Gin </c:v>
                </c:pt>
                <c:pt idx="79">
                  <c:v>Trout </c:v>
                </c:pt>
                <c:pt idx="80">
                  <c:v>Croissant, Raw </c:v>
                </c:pt>
                <c:pt idx="81">
                  <c:v>Beans </c:v>
                </c:pt>
                <c:pt idx="82">
                  <c:v>Rolled Oats</c:v>
                </c:pt>
                <c:pt idx="83">
                  <c:v>Shiratamako </c:v>
                </c:pt>
                <c:pt idx="84">
                  <c:v>Olives </c:v>
                </c:pt>
                <c:pt idx="85">
                  <c:v>Artichoke </c:v>
                </c:pt>
              </c:strCache>
            </c:strRef>
          </c:cat>
          <c:val>
            <c:numRef>
              <c:f>pivot_table!$C$25:$C$111</c:f>
              <c:numCache>
                <c:formatCode>General</c:formatCode>
                <c:ptCount val="86"/>
                <c:pt idx="0">
                  <c:v>224.48999999999998</c:v>
                </c:pt>
                <c:pt idx="1">
                  <c:v>219.99</c:v>
                </c:pt>
                <c:pt idx="2">
                  <c:v>186.98000000000002</c:v>
                </c:pt>
                <c:pt idx="3">
                  <c:v>171.25</c:v>
                </c:pt>
                <c:pt idx="4">
                  <c:v>168.45</c:v>
                </c:pt>
                <c:pt idx="5">
                  <c:v>155.82999999999998</c:v>
                </c:pt>
                <c:pt idx="6">
                  <c:v>135.86000000000001</c:v>
                </c:pt>
                <c:pt idx="7">
                  <c:v>115.83000000000001</c:v>
                </c:pt>
                <c:pt idx="8">
                  <c:v>114.05000000000001</c:v>
                </c:pt>
                <c:pt idx="9">
                  <c:v>98.9</c:v>
                </c:pt>
                <c:pt idx="10">
                  <c:v>98.13</c:v>
                </c:pt>
                <c:pt idx="11">
                  <c:v>98.11</c:v>
                </c:pt>
                <c:pt idx="12">
                  <c:v>97.89</c:v>
                </c:pt>
                <c:pt idx="13">
                  <c:v>97.12</c:v>
                </c:pt>
                <c:pt idx="14">
                  <c:v>96.79</c:v>
                </c:pt>
                <c:pt idx="15">
                  <c:v>96.7</c:v>
                </c:pt>
                <c:pt idx="16">
                  <c:v>95.9</c:v>
                </c:pt>
                <c:pt idx="17">
                  <c:v>94.9</c:v>
                </c:pt>
                <c:pt idx="18">
                  <c:v>94.18</c:v>
                </c:pt>
                <c:pt idx="19">
                  <c:v>92.34</c:v>
                </c:pt>
                <c:pt idx="20">
                  <c:v>91.21</c:v>
                </c:pt>
                <c:pt idx="21">
                  <c:v>90.75</c:v>
                </c:pt>
                <c:pt idx="22">
                  <c:v>88.43</c:v>
                </c:pt>
                <c:pt idx="23">
                  <c:v>88.13</c:v>
                </c:pt>
                <c:pt idx="24">
                  <c:v>86.83</c:v>
                </c:pt>
                <c:pt idx="25">
                  <c:v>83.92</c:v>
                </c:pt>
                <c:pt idx="26">
                  <c:v>83.25</c:v>
                </c:pt>
                <c:pt idx="27">
                  <c:v>83.04</c:v>
                </c:pt>
                <c:pt idx="28">
                  <c:v>81.22</c:v>
                </c:pt>
                <c:pt idx="29">
                  <c:v>80.7</c:v>
                </c:pt>
                <c:pt idx="30">
                  <c:v>78.95</c:v>
                </c:pt>
                <c:pt idx="31">
                  <c:v>78.94</c:v>
                </c:pt>
                <c:pt idx="32">
                  <c:v>78.08</c:v>
                </c:pt>
                <c:pt idx="33">
                  <c:v>78.069999999999993</c:v>
                </c:pt>
                <c:pt idx="34">
                  <c:v>76.23</c:v>
                </c:pt>
                <c:pt idx="35">
                  <c:v>75.28</c:v>
                </c:pt>
                <c:pt idx="36">
                  <c:v>72.75</c:v>
                </c:pt>
                <c:pt idx="37">
                  <c:v>71.78</c:v>
                </c:pt>
                <c:pt idx="38">
                  <c:v>70.55</c:v>
                </c:pt>
                <c:pt idx="39">
                  <c:v>66.38</c:v>
                </c:pt>
                <c:pt idx="40">
                  <c:v>66.239999999999995</c:v>
                </c:pt>
                <c:pt idx="41">
                  <c:v>64.55</c:v>
                </c:pt>
                <c:pt idx="42">
                  <c:v>64.14</c:v>
                </c:pt>
                <c:pt idx="43">
                  <c:v>63.12</c:v>
                </c:pt>
                <c:pt idx="44">
                  <c:v>60.75</c:v>
                </c:pt>
                <c:pt idx="45">
                  <c:v>59.99</c:v>
                </c:pt>
                <c:pt idx="46">
                  <c:v>59.86</c:v>
                </c:pt>
                <c:pt idx="47">
                  <c:v>53.71</c:v>
                </c:pt>
                <c:pt idx="48">
                  <c:v>53.67</c:v>
                </c:pt>
                <c:pt idx="49">
                  <c:v>52.27</c:v>
                </c:pt>
                <c:pt idx="50">
                  <c:v>50.12</c:v>
                </c:pt>
                <c:pt idx="51">
                  <c:v>49.92</c:v>
                </c:pt>
                <c:pt idx="52">
                  <c:v>45.59</c:v>
                </c:pt>
                <c:pt idx="53">
                  <c:v>43.47</c:v>
                </c:pt>
                <c:pt idx="54">
                  <c:v>42.4</c:v>
                </c:pt>
                <c:pt idx="55">
                  <c:v>41.93</c:v>
                </c:pt>
                <c:pt idx="56">
                  <c:v>35.01</c:v>
                </c:pt>
                <c:pt idx="57">
                  <c:v>34.9</c:v>
                </c:pt>
                <c:pt idx="58">
                  <c:v>29.55</c:v>
                </c:pt>
                <c:pt idx="59">
                  <c:v>28.830000000000002</c:v>
                </c:pt>
                <c:pt idx="60">
                  <c:v>27.68</c:v>
                </c:pt>
                <c:pt idx="61">
                  <c:v>26.85</c:v>
                </c:pt>
                <c:pt idx="62">
                  <c:v>26.21</c:v>
                </c:pt>
                <c:pt idx="63">
                  <c:v>25.94</c:v>
                </c:pt>
                <c:pt idx="64">
                  <c:v>24.92</c:v>
                </c:pt>
                <c:pt idx="65">
                  <c:v>19.809999999999999</c:v>
                </c:pt>
                <c:pt idx="66">
                  <c:v>19.68</c:v>
                </c:pt>
                <c:pt idx="67">
                  <c:v>15.69</c:v>
                </c:pt>
                <c:pt idx="68">
                  <c:v>15.12</c:v>
                </c:pt>
                <c:pt idx="69">
                  <c:v>14.55</c:v>
                </c:pt>
                <c:pt idx="70">
                  <c:v>14.17</c:v>
                </c:pt>
                <c:pt idx="71">
                  <c:v>9.66</c:v>
                </c:pt>
                <c:pt idx="72">
                  <c:v>9.5500000000000007</c:v>
                </c:pt>
                <c:pt idx="73">
                  <c:v>9.4</c:v>
                </c:pt>
                <c:pt idx="74">
                  <c:v>8.1300000000000008</c:v>
                </c:pt>
                <c:pt idx="75">
                  <c:v>7.82</c:v>
                </c:pt>
                <c:pt idx="76">
                  <c:v>6.57</c:v>
                </c:pt>
                <c:pt idx="77">
                  <c:v>5.49</c:v>
                </c:pt>
                <c:pt idx="78">
                  <c:v>4.96</c:v>
                </c:pt>
                <c:pt idx="79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0-40CE-AF5A-DD51D1D5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37200"/>
        <c:axId val="554818064"/>
      </c:barChart>
      <c:catAx>
        <c:axId val="5548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8064"/>
        <c:crosses val="autoZero"/>
        <c:auto val="1"/>
        <c:lblAlgn val="ctr"/>
        <c:lblOffset val="100"/>
        <c:noMultiLvlLbl val="0"/>
      </c:catAx>
      <c:valAx>
        <c:axId val="5548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11373</xdr:colOff>
      <xdr:row>6</xdr:row>
      <xdr:rowOff>163014</xdr:rowOff>
    </xdr:from>
    <xdr:to>
      <xdr:col>4</xdr:col>
      <xdr:colOff>511790</xdr:colOff>
      <xdr:row>21</xdr:row>
      <xdr:rowOff>17584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D9900-382B-6D3C-DEED-B6291370B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7583</xdr:colOff>
      <xdr:row>6</xdr:row>
      <xdr:rowOff>166809</xdr:rowOff>
    </xdr:from>
    <xdr:to>
      <xdr:col>12</xdr:col>
      <xdr:colOff>307076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FE7F3-C2D9-40F9-4122-5A58C67F5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13</xdr:col>
      <xdr:colOff>119820</xdr:colOff>
      <xdr:row>40</xdr:row>
      <xdr:rowOff>156140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F13F8-7CC1-43AE-AB0B-4203DABA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53237</xdr:colOff>
      <xdr:row>2</xdr:row>
      <xdr:rowOff>145774</xdr:rowOff>
    </xdr:from>
    <xdr:to>
      <xdr:col>9</xdr:col>
      <xdr:colOff>151626</xdr:colOff>
      <xdr:row>15</xdr:row>
      <xdr:rowOff>133490</xdr:rowOff>
    </xdr:to>
    <xdr:pic>
      <xdr:nvPicPr>
        <xdr:cNvPr id="2" name="Picture 1" descr="biểu đồ lạm phát việt nam qua các năm">
          <a:extLst>
            <a:ext uri="{FF2B5EF4-FFF2-40B4-BE49-F238E27FC236}">
              <a16:creationId xmlns:a16="http://schemas.microsoft.com/office/drawing/2014/main" id="{D625DBA0-0B91-4798-98DB-BC5A75A552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33" r="16934"/>
        <a:stretch/>
      </xdr:blipFill>
      <xdr:spPr bwMode="auto">
        <a:xfrm>
          <a:off x="3989133" y="516835"/>
          <a:ext cx="3146389" cy="2399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464820</xdr:colOff>
      <xdr:row>0</xdr:row>
      <xdr:rowOff>160020</xdr:rowOff>
    </xdr:from>
    <xdr:to>
      <xdr:col>13</xdr:col>
      <xdr:colOff>0</xdr:colOff>
      <xdr:row>16</xdr:row>
      <xdr:rowOff>91440</xdr:rowOff>
    </xdr:to>
    <xdr:pic>
      <xdr:nvPicPr>
        <xdr:cNvPr id="2" name="Picture 1" descr="biểu đồ lạm phát việt nam qua các năm">
          <a:extLst>
            <a:ext uri="{FF2B5EF4-FFF2-40B4-BE49-F238E27FC236}">
              <a16:creationId xmlns:a16="http://schemas.microsoft.com/office/drawing/2014/main" id="{98F2A2C9-AC54-EA1E-87FB-F006DB47A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33" r="16934"/>
        <a:stretch/>
      </xdr:blipFill>
      <xdr:spPr bwMode="auto">
        <a:xfrm>
          <a:off x="4625340" y="160020"/>
          <a:ext cx="380238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h Hoang" refreshedDate="44897.606000231484" createdVersion="8" refreshedVersion="8" minRefreshableVersion="3" recordCount="101" xr:uid="{4DFD1B3A-09B6-4ED8-B9B1-D51ED7DB2895}">
  <cacheSource type="worksheet">
    <worksheetSource ref="B1:F102" sheet="database"/>
  </cacheSource>
  <cacheFields count="5">
    <cacheField name="full_name" numFmtId="0">
      <sharedItems/>
    </cacheField>
    <cacheField name="gender" numFmtId="0">
      <sharedItems count="3">
        <s v="Male"/>
        <s v="Female"/>
        <s v="LGBTQ+"/>
      </sharedItems>
    </cacheField>
    <cacheField name="category" numFmtId="0">
      <sharedItems count="86">
        <s v="Beef "/>
        <s v="Trout "/>
        <s v="Sloe Gin "/>
        <s v="Eggplant "/>
        <s v="Soup "/>
        <s v="Butter "/>
        <s v="Whmis "/>
        <s v="Vinegar "/>
        <s v="Rabbit "/>
        <s v="English Muffin"/>
        <s v="Pop "/>
        <s v="Spring Roll Wrappers"/>
        <s v="Rolled Oats"/>
        <s v="Shrimp "/>
        <s v="Vodka "/>
        <s v="Lid Tray "/>
        <s v="Spice "/>
        <s v="Gatorade "/>
        <s v="Lamb "/>
        <s v="Cookie Dough "/>
        <s v="Milk "/>
        <s v="Pasta "/>
        <s v="Shiratamako "/>
        <s v="Club Soda "/>
        <s v="Flower "/>
        <s v="Cake "/>
        <s v="Nacho Chips"/>
        <s v="Trout Rainbow Whole"/>
        <s v="The Pop Shoppe Pinapple"/>
        <s v="Fondant "/>
        <s v="Fond "/>
        <s v="Gingerale "/>
        <s v="Cheese "/>
        <s v="Beans "/>
        <s v="Soupcontfoam16oz 116con"/>
        <s v="Rosemary "/>
        <s v="Beer "/>
        <s v="Bread "/>
        <s v="Croissant, Raw "/>
        <s v="Crackers Cheez It"/>
        <s v="Carrots "/>
        <s v="Veal "/>
        <s v="Island Oasis "/>
        <s v="Artichoke "/>
        <s v="Filling "/>
        <s v="Salt And Pepper Mix "/>
        <s v="Lemonade "/>
        <s v="Wine "/>
        <s v="Oil "/>
        <s v="Garbag Bags "/>
        <s v="Olives "/>
        <s v="Bagels Poppyseed"/>
        <s v="Soho Lychee Liqueur"/>
        <s v="Piping Jelly "/>
        <s v="Marsala "/>
        <s v="Mushroom "/>
        <s v="Onions "/>
        <s v="Soy Protein"/>
        <s v="Grapes "/>
        <s v="Venison "/>
        <s v="Appetizer "/>
        <s v="Lemon Tarts"/>
        <s v="Bagelers "/>
        <s v="Honey "/>
        <s v="Sobe "/>
        <s v="Potato "/>
        <s v="Lettuce "/>
        <s v="Bagel "/>
        <s v="Mangoes"/>
        <s v="Doilies "/>
        <s v="Napkin "/>
        <s v="Longos "/>
        <s v="Pepper "/>
        <s v="Salmon "/>
        <s v="Pastry "/>
        <s v="Nantucket Pine Orangebanana"/>
        <s v="Beef Ground Medium"/>
        <s v="Mushrooms "/>
        <s v="Bag Stand"/>
        <s v="Pie Box "/>
        <s v="Pork "/>
        <s v="Truffle Shells "/>
        <s v="Carbonated Water "/>
        <s v="Apricots Fresh"/>
        <s v="Garlic "/>
        <s v="Computer"/>
      </sharedItems>
    </cacheField>
    <cacheField name="brand" numFmtId="0">
      <sharedItems containsBlank="1" count="78">
        <s v=" Rib Roast, Capless"/>
        <s v=" Rainbow, Fresh"/>
        <s v=" Mcguinness"/>
        <s v=" Asian"/>
        <s v=" Canadian Pea, Dry Mix"/>
        <s v=" Salted"/>
        <s v=" Spray Bottle Trigger"/>
        <s v=" Tarragon"/>
        <s v=" Whole"/>
        <m/>
        <s v=" Club Soda Can"/>
        <s v=" 16/20, Iqf, Shell On"/>
        <s v=" Lemon, Absolut"/>
        <s v=" Cooked, Corned"/>
        <s v=" 12in Dome"/>
        <s v=" Paprika"/>
        <s v=" Lemon Lime"/>
        <s v=" Sherry"/>
        <s v=" Shoulder, Boneless"/>
        <s v=" Oatmeal Rasin"/>
        <s v=" Chocolate 500ml"/>
        <s v=" Fusili, Dry"/>
        <s v=" Rice Flour"/>
        <s v=" Schweppes, 355 Ml"/>
        <s v=" Carnations"/>
        <s v=" Mini Potato Pancake"/>
        <s v=" Icing"/>
        <s v=" Chocolate"/>
        <s v=" Goat"/>
        <s v=" Butter Lrg Lima"/>
        <s v=" Dry"/>
        <s v=" Maudite"/>
        <s v=" Pita, Mini"/>
        <s v=" Mini"/>
        <s v=" Jumbo"/>
        <s v=" Sweetbread"/>
        <s v=" Strawberry"/>
        <s v=" Bottom, Canned"/>
        <s v=" Mince Meat"/>
        <s v=" Black"/>
        <s v=" Mandarin, 591 Ml"/>
        <s v=" Multigrain, Loaf"/>
        <s v=" Alsace Riesling Reserve"/>
        <s v=" Olive"/>
        <s v=" Nicoise"/>
        <s v=" Feta"/>
        <s v=" Sweet And Sour Mix"/>
        <s v=" All Colours"/>
        <s v=" Sperone, Fine, D.o.c."/>
        <s v=" Shitake, Dry"/>
        <s v=" Green"/>
        <s v=" Campbells Chili"/>
        <s v=" Racks Frenched"/>
        <s v=" Chicken Satay"/>
        <s v=" Cinn / Brown"/>
        <s v=" Liquid"/>
        <s v=" Berry Energy"/>
        <s v=" Crusty Italian Poly"/>
        <s v=" Sweet"/>
        <s v=" California Mix"/>
        <s v=" Morels, Dry"/>
        <s v=" Ched Chs Presliced"/>
        <s v=" Corn Muffaleta Onion"/>
        <s v=" 8, Paper"/>
        <s v=" Beverage 1 Ply"/>
        <s v=" Knorr, Chicken Noodle"/>
        <s v=" Leg, Boneless"/>
        <s v=" Grilled Chicken With"/>
        <s v=" White, Whole"/>
        <s v=" Whole, 4  6 Pounds"/>
        <s v=" Banana Muffin Mini"/>
        <s v=" Atlantic, Skin On"/>
        <s v=" Black, Dried"/>
        <s v=" Cello Window 2.5"/>
        <s v=" Loin, Boneless"/>
        <s v=" White Chocolate"/>
        <s v=" Elephant"/>
        <s v="Laptop HP"/>
      </sharedItems>
    </cacheField>
    <cacheField name="price" numFmtId="164">
      <sharedItems containsString="0" containsBlank="1" containsNumber="1" minValue="1" maxValue="9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Kyle Coase"/>
    <x v="0"/>
    <x v="0"/>
    <x v="0"/>
    <n v="1"/>
  </r>
  <r>
    <s v="Ase McCallion"/>
    <x v="0"/>
    <x v="1"/>
    <x v="1"/>
    <n v="1.7"/>
  </r>
  <r>
    <s v="Margalit McGreil"/>
    <x v="0"/>
    <x v="2"/>
    <x v="2"/>
    <n v="4.96"/>
  </r>
  <r>
    <s v="Sybila Vasnetsov"/>
    <x v="1"/>
    <x v="3"/>
    <x v="3"/>
    <n v="5.49"/>
  </r>
  <r>
    <s v="Lucille Akitt"/>
    <x v="1"/>
    <x v="4"/>
    <x v="4"/>
    <n v="6.11"/>
  </r>
  <r>
    <s v="La verne Abrahart"/>
    <x v="1"/>
    <x v="5"/>
    <x v="5"/>
    <n v="6.57"/>
  </r>
  <r>
    <s v="Uriel Balaizot"/>
    <x v="0"/>
    <x v="6"/>
    <x v="6"/>
    <n v="7.82"/>
  </r>
  <r>
    <s v="Dory Frow"/>
    <x v="1"/>
    <x v="7"/>
    <x v="7"/>
    <n v="7.96"/>
  </r>
  <r>
    <s v="Fidelity Soall"/>
    <x v="0"/>
    <x v="8"/>
    <x v="8"/>
    <n v="8.1300000000000008"/>
  </r>
  <r>
    <s v="Joli Lyffe"/>
    <x v="1"/>
    <x v="9"/>
    <x v="9"/>
    <n v="9.4"/>
  </r>
  <r>
    <s v="Cristal Grigg"/>
    <x v="0"/>
    <x v="10"/>
    <x v="10"/>
    <n v="9.5500000000000007"/>
  </r>
  <r>
    <s v="Jarrid McGooch"/>
    <x v="0"/>
    <x v="11"/>
    <x v="9"/>
    <n v="9.66"/>
  </r>
  <r>
    <s v="Jamesy Godart"/>
    <x v="1"/>
    <x v="12"/>
    <x v="9"/>
    <m/>
  </r>
  <r>
    <s v="Dan Regis"/>
    <x v="0"/>
    <x v="13"/>
    <x v="11"/>
    <n v="14.17"/>
  </r>
  <r>
    <s v="James Girtin"/>
    <x v="1"/>
    <x v="14"/>
    <x v="12"/>
    <n v="14.55"/>
  </r>
  <r>
    <s v="Wynn Lowmass"/>
    <x v="1"/>
    <x v="0"/>
    <x v="13"/>
    <n v="14.69"/>
  </r>
  <r>
    <s v="Hedvige Gaul"/>
    <x v="0"/>
    <x v="15"/>
    <x v="14"/>
    <n v="15.12"/>
  </r>
  <r>
    <s v="Verge Fellman"/>
    <x v="0"/>
    <x v="16"/>
    <x v="15"/>
    <n v="19.68"/>
  </r>
  <r>
    <s v="Lothario Albisser"/>
    <x v="1"/>
    <x v="17"/>
    <x v="16"/>
    <n v="19.809999999999999"/>
  </r>
  <r>
    <s v="Mattheus Bohlsen"/>
    <x v="1"/>
    <x v="7"/>
    <x v="17"/>
    <n v="20.87"/>
  </r>
  <r>
    <s v="Jeremy Boosey"/>
    <x v="1"/>
    <x v="18"/>
    <x v="18"/>
    <n v="24.85"/>
  </r>
  <r>
    <s v="Barris Ruffle"/>
    <x v="0"/>
    <x v="19"/>
    <x v="19"/>
    <n v="24.92"/>
  </r>
  <r>
    <s v="Kendra Grossman"/>
    <x v="0"/>
    <x v="20"/>
    <x v="20"/>
    <n v="25.94"/>
  </r>
  <r>
    <s v="Licha Broggini"/>
    <x v="1"/>
    <x v="21"/>
    <x v="21"/>
    <n v="26.21"/>
  </r>
  <r>
    <s v="Clement Defont"/>
    <x v="0"/>
    <x v="22"/>
    <x v="22"/>
    <m/>
  </r>
  <r>
    <s v="Daphne Rowett"/>
    <x v="0"/>
    <x v="23"/>
    <x v="23"/>
    <n v="26.85"/>
  </r>
  <r>
    <s v="Layla Annice"/>
    <x v="0"/>
    <x v="24"/>
    <x v="24"/>
    <n v="27.68"/>
  </r>
  <r>
    <s v="Orsola Pimmocke"/>
    <x v="0"/>
    <x v="25"/>
    <x v="25"/>
    <n v="29.55"/>
  </r>
  <r>
    <s v="Mira Dake"/>
    <x v="0"/>
    <x v="26"/>
    <x v="9"/>
    <n v="34.9"/>
  </r>
  <r>
    <s v="Greggory Garland"/>
    <x v="0"/>
    <x v="27"/>
    <x v="9"/>
    <n v="35.01"/>
  </r>
  <r>
    <s v="Lorain Keneford"/>
    <x v="0"/>
    <x v="28"/>
    <x v="9"/>
    <n v="41.93"/>
  </r>
  <r>
    <s v="Jodi Tiffin"/>
    <x v="1"/>
    <x v="29"/>
    <x v="26"/>
    <n v="42.4"/>
  </r>
  <r>
    <s v="Silvanus Udey"/>
    <x v="1"/>
    <x v="30"/>
    <x v="27"/>
    <n v="43.47"/>
  </r>
  <r>
    <s v="Hurley Cavill"/>
    <x v="1"/>
    <x v="31"/>
    <x v="23"/>
    <n v="45.59"/>
  </r>
  <r>
    <s v="Boone Matovic"/>
    <x v="0"/>
    <x v="32"/>
    <x v="28"/>
    <n v="46.32"/>
  </r>
  <r>
    <s v="Fonzie Scoines"/>
    <x v="0"/>
    <x v="33"/>
    <x v="29"/>
    <m/>
  </r>
  <r>
    <s v="Derrick Langton"/>
    <x v="0"/>
    <x v="34"/>
    <x v="9"/>
    <n v="47.41"/>
  </r>
  <r>
    <s v="Stafford Drepp"/>
    <x v="1"/>
    <x v="35"/>
    <x v="30"/>
    <n v="49.92"/>
  </r>
  <r>
    <s v="Alessandra Bowditch"/>
    <x v="0"/>
    <x v="36"/>
    <x v="31"/>
    <n v="50.12"/>
  </r>
  <r>
    <s v="Emiline Yelyashev"/>
    <x v="1"/>
    <x v="37"/>
    <x v="32"/>
    <n v="50.91"/>
  </r>
  <r>
    <s v="Filbert Darragh"/>
    <x v="1"/>
    <x v="38"/>
    <x v="33"/>
    <m/>
  </r>
  <r>
    <s v="Vally Sappy"/>
    <x v="0"/>
    <x v="39"/>
    <x v="9"/>
    <n v="52.27"/>
  </r>
  <r>
    <s v="Jerrold Plumer"/>
    <x v="1"/>
    <x v="40"/>
    <x v="34"/>
    <n v="53.67"/>
  </r>
  <r>
    <s v="Wylma Gerrish"/>
    <x v="0"/>
    <x v="41"/>
    <x v="35"/>
    <n v="53.71"/>
  </r>
  <r>
    <s v="Dalton Dawes"/>
    <x v="0"/>
    <x v="42"/>
    <x v="36"/>
    <n v="56.71"/>
  </r>
  <r>
    <s v="Madlen Larkby"/>
    <x v="0"/>
    <x v="43"/>
    <x v="37"/>
    <m/>
  </r>
  <r>
    <s v="Elia Chittim"/>
    <x v="1"/>
    <x v="44"/>
    <x v="38"/>
    <n v="59.86"/>
  </r>
  <r>
    <s v="Devan Sickling"/>
    <x v="0"/>
    <x v="45"/>
    <x v="39"/>
    <n v="59.99"/>
  </r>
  <r>
    <s v="Clarisse Kleinberer"/>
    <x v="2"/>
    <x v="46"/>
    <x v="40"/>
    <n v="60.75"/>
  </r>
  <r>
    <s v="Caesar Damiata"/>
    <x v="2"/>
    <x v="37"/>
    <x v="41"/>
    <m/>
  </r>
  <r>
    <s v="Artemas Buffey"/>
    <x v="2"/>
    <x v="47"/>
    <x v="42"/>
    <n v="63.12"/>
  </r>
  <r>
    <s v="Rona Frostdyke"/>
    <x v="2"/>
    <x v="48"/>
    <x v="43"/>
    <n v="64.14"/>
  </r>
  <r>
    <s v="Barde Taysbil"/>
    <x v="2"/>
    <x v="49"/>
    <x v="39"/>
    <n v="64.55"/>
  </r>
  <r>
    <s v="Elihu Divisek"/>
    <x v="2"/>
    <x v="50"/>
    <x v="44"/>
    <m/>
  </r>
  <r>
    <s v="Rosanne Gorelli"/>
    <x v="2"/>
    <x v="51"/>
    <x v="9"/>
    <n v="66.239999999999995"/>
  </r>
  <r>
    <s v="Kristofor Fant"/>
    <x v="2"/>
    <x v="52"/>
    <x v="9"/>
    <n v="66.38"/>
  </r>
  <r>
    <s v="Locke Silberschatz"/>
    <x v="1"/>
    <x v="32"/>
    <x v="45"/>
    <n v="69.510000000000005"/>
  </r>
  <r>
    <s v="Siana Rosenwald"/>
    <x v="0"/>
    <x v="42"/>
    <x v="46"/>
    <n v="70.209999999999994"/>
  </r>
  <r>
    <s v="Giacopo Berens"/>
    <x v="1"/>
    <x v="53"/>
    <x v="47"/>
    <n v="70.55"/>
  </r>
  <r>
    <s v="Anitra Showell"/>
    <x v="0"/>
    <x v="54"/>
    <x v="48"/>
    <n v="71.78"/>
  </r>
  <r>
    <s v="Maighdiln Harbord"/>
    <x v="1"/>
    <x v="55"/>
    <x v="49"/>
    <n v="72.42"/>
  </r>
  <r>
    <s v="Lazar Chichgar"/>
    <x v="1"/>
    <x v="56"/>
    <x v="50"/>
    <n v="72.75"/>
  </r>
  <r>
    <s v="Hakeem Beeton"/>
    <x v="1"/>
    <x v="4"/>
    <x v="51"/>
    <n v="73.22"/>
  </r>
  <r>
    <s v="Lamond Metschke"/>
    <x v="0"/>
    <x v="57"/>
    <x v="9"/>
    <n v="75.28"/>
  </r>
  <r>
    <s v="Ethan Keoghan"/>
    <x v="1"/>
    <x v="58"/>
    <x v="39"/>
    <n v="78.069999999999993"/>
  </r>
  <r>
    <s v="Carina Dietzler"/>
    <x v="1"/>
    <x v="59"/>
    <x v="52"/>
    <n v="78.08"/>
  </r>
  <r>
    <s v="Jennica Dagon"/>
    <x v="1"/>
    <x v="60"/>
    <x v="53"/>
    <n v="78.94"/>
  </r>
  <r>
    <s v="Demetria Donovin"/>
    <x v="1"/>
    <x v="61"/>
    <x v="9"/>
    <n v="78.95"/>
  </r>
  <r>
    <s v="Staci Florentine"/>
    <x v="2"/>
    <x v="62"/>
    <x v="54"/>
    <n v="80.7"/>
  </r>
  <r>
    <s v="Ferd Aisman"/>
    <x v="0"/>
    <x v="63"/>
    <x v="55"/>
    <n v="80.760000000000005"/>
  </r>
  <r>
    <s v="Estella Blackesland"/>
    <x v="1"/>
    <x v="64"/>
    <x v="56"/>
    <n v="81.22"/>
  </r>
  <r>
    <s v="Hebert Lowdwell"/>
    <x v="1"/>
    <x v="37"/>
    <x v="57"/>
    <n v="82.16"/>
  </r>
  <r>
    <s v="Thorn Feather"/>
    <x v="0"/>
    <x v="65"/>
    <x v="58"/>
    <n v="83.04"/>
  </r>
  <r>
    <s v="Jerry Winnister"/>
    <x v="2"/>
    <x v="66"/>
    <x v="59"/>
    <n v="83.25"/>
  </r>
  <r>
    <s v="Ambrose Scotcher"/>
    <x v="2"/>
    <x v="55"/>
    <x v="60"/>
    <n v="83.41"/>
  </r>
  <r>
    <s v="Filide Jakubovski"/>
    <x v="2"/>
    <x v="67"/>
    <x v="61"/>
    <n v="83.92"/>
  </r>
  <r>
    <s v="Cedric Sawkin"/>
    <x v="2"/>
    <x v="68"/>
    <x v="9"/>
    <n v="86.83"/>
  </r>
  <r>
    <s v="Marcos Load"/>
    <x v="2"/>
    <x v="37"/>
    <x v="62"/>
    <n v="86.92"/>
  </r>
  <r>
    <s v="Craggy Teasey"/>
    <x v="2"/>
    <x v="69"/>
    <x v="63"/>
    <n v="88.13"/>
  </r>
  <r>
    <s v="Claudian Kerfod"/>
    <x v="0"/>
    <x v="70"/>
    <x v="64"/>
    <n v="88.43"/>
  </r>
  <r>
    <s v="Robbi Weavers"/>
    <x v="0"/>
    <x v="34"/>
    <x v="9"/>
    <n v="88.45"/>
  </r>
  <r>
    <s v="Worth Hartnup"/>
    <x v="0"/>
    <x v="4"/>
    <x v="65"/>
    <n v="89.12"/>
  </r>
  <r>
    <s v="Clarabelle Elleyne"/>
    <x v="1"/>
    <x v="18"/>
    <x v="66"/>
    <n v="89.2"/>
  </r>
  <r>
    <s v="Jessa Paulino"/>
    <x v="0"/>
    <x v="63"/>
    <x v="55"/>
    <n v="90.49"/>
  </r>
  <r>
    <s v="Agosto Gibbetts"/>
    <x v="0"/>
    <x v="71"/>
    <x v="67"/>
    <n v="90.75"/>
  </r>
  <r>
    <s v="Colas Cohalan"/>
    <x v="0"/>
    <x v="72"/>
    <x v="68"/>
    <n v="91.21"/>
  </r>
  <r>
    <s v="Wyatt McGing"/>
    <x v="1"/>
    <x v="73"/>
    <x v="69"/>
    <n v="91.9"/>
  </r>
  <r>
    <s v="Winifred Kent"/>
    <x v="1"/>
    <x v="74"/>
    <x v="70"/>
    <n v="92.34"/>
  </r>
  <r>
    <s v="Rasla Shea"/>
    <x v="0"/>
    <x v="75"/>
    <x v="9"/>
    <n v="94.18"/>
  </r>
  <r>
    <s v="Kent Garvin"/>
    <x v="0"/>
    <x v="76"/>
    <x v="9"/>
    <n v="94.9"/>
  </r>
  <r>
    <s v="Willard Dymoke"/>
    <x v="1"/>
    <x v="73"/>
    <x v="71"/>
    <n v="95.08"/>
  </r>
  <r>
    <s v="Eolande Devin"/>
    <x v="1"/>
    <x v="77"/>
    <x v="72"/>
    <n v="95.9"/>
  </r>
  <r>
    <s v="Ebba Darleston"/>
    <x v="0"/>
    <x v="78"/>
    <x v="9"/>
    <n v="96.7"/>
  </r>
  <r>
    <s v="Hattie Stockow"/>
    <x v="0"/>
    <x v="79"/>
    <x v="73"/>
    <n v="96.79"/>
  </r>
  <r>
    <s v="Clem Castiblanco"/>
    <x v="1"/>
    <x v="80"/>
    <x v="74"/>
    <n v="97.12"/>
  </r>
  <r>
    <s v="Colene Fletcher"/>
    <x v="0"/>
    <x v="42"/>
    <x v="46"/>
    <n v="97.57"/>
  </r>
  <r>
    <s v="Shayne Espinho"/>
    <x v="1"/>
    <x v="81"/>
    <x v="75"/>
    <n v="97.89"/>
  </r>
  <r>
    <s v="Clemence Giacomozzo"/>
    <x v="0"/>
    <x v="82"/>
    <x v="36"/>
    <n v="98.11"/>
  </r>
  <r>
    <s v="Tades Kerbey"/>
    <x v="1"/>
    <x v="83"/>
    <x v="9"/>
    <n v="98.13"/>
  </r>
  <r>
    <s v="Verney Bolding"/>
    <x v="2"/>
    <x v="84"/>
    <x v="76"/>
    <n v="98.9"/>
  </r>
  <r>
    <s v="John Wick"/>
    <x v="1"/>
    <x v="85"/>
    <x v="77"/>
    <n v="76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B80FE-3BB7-446D-858B-98344E9CCC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:C6" firstHeaderRow="1" firstDataRow="1" firstDataCol="1"/>
  <pivotFields count="5">
    <pivotField showAll="0"/>
    <pivotField axis="axisRow" dataField="1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53E10-30D9-4435-97E7-E31A85C6FFA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24:C111" firstHeaderRow="1" firstDataRow="1" firstDataCol="1"/>
  <pivotFields count="5">
    <pivotField showAll="0"/>
    <pivotField showAll="0"/>
    <pivotField axis="axisRow" showAll="0" sortType="descending">
      <items count="87">
        <item x="60"/>
        <item x="83"/>
        <item x="43"/>
        <item x="78"/>
        <item x="67"/>
        <item x="62"/>
        <item x="51"/>
        <item x="33"/>
        <item x="0"/>
        <item x="76"/>
        <item x="36"/>
        <item x="37"/>
        <item x="5"/>
        <item x="25"/>
        <item x="82"/>
        <item x="40"/>
        <item x="32"/>
        <item x="23"/>
        <item x="85"/>
        <item x="19"/>
        <item x="39"/>
        <item x="38"/>
        <item x="69"/>
        <item x="3"/>
        <item x="9"/>
        <item x="44"/>
        <item x="24"/>
        <item x="30"/>
        <item x="29"/>
        <item x="49"/>
        <item x="84"/>
        <item x="17"/>
        <item x="31"/>
        <item x="58"/>
        <item x="63"/>
        <item x="42"/>
        <item x="18"/>
        <item x="61"/>
        <item x="46"/>
        <item x="66"/>
        <item x="15"/>
        <item x="71"/>
        <item x="68"/>
        <item x="54"/>
        <item x="20"/>
        <item x="55"/>
        <item x="77"/>
        <item x="26"/>
        <item x="75"/>
        <item x="70"/>
        <item x="48"/>
        <item x="50"/>
        <item x="56"/>
        <item x="21"/>
        <item x="74"/>
        <item x="72"/>
        <item x="79"/>
        <item x="53"/>
        <item x="10"/>
        <item x="80"/>
        <item x="65"/>
        <item x="8"/>
        <item x="12"/>
        <item x="35"/>
        <item x="73"/>
        <item x="45"/>
        <item x="22"/>
        <item x="13"/>
        <item x="2"/>
        <item x="64"/>
        <item x="52"/>
        <item x="4"/>
        <item x="34"/>
        <item x="57"/>
        <item x="16"/>
        <item x="11"/>
        <item x="28"/>
        <item x="1"/>
        <item x="27"/>
        <item x="81"/>
        <item x="41"/>
        <item x="59"/>
        <item x="7"/>
        <item x="14"/>
        <item x="6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9">
        <item x="14"/>
        <item x="11"/>
        <item x="63"/>
        <item x="47"/>
        <item x="42"/>
        <item x="3"/>
        <item x="71"/>
        <item x="70"/>
        <item x="56"/>
        <item x="64"/>
        <item x="39"/>
        <item x="72"/>
        <item x="37"/>
        <item x="29"/>
        <item x="59"/>
        <item x="51"/>
        <item x="4"/>
        <item x="24"/>
        <item x="73"/>
        <item x="61"/>
        <item x="53"/>
        <item x="27"/>
        <item x="20"/>
        <item x="54"/>
        <item x="10"/>
        <item x="13"/>
        <item x="62"/>
        <item x="57"/>
        <item x="30"/>
        <item x="76"/>
        <item x="45"/>
        <item x="21"/>
        <item x="28"/>
        <item x="50"/>
        <item x="67"/>
        <item x="26"/>
        <item x="34"/>
        <item x="65"/>
        <item x="66"/>
        <item x="16"/>
        <item x="12"/>
        <item x="55"/>
        <item x="74"/>
        <item x="40"/>
        <item x="31"/>
        <item x="2"/>
        <item x="38"/>
        <item x="33"/>
        <item x="25"/>
        <item x="60"/>
        <item x="41"/>
        <item x="44"/>
        <item x="19"/>
        <item x="43"/>
        <item x="15"/>
        <item x="32"/>
        <item x="52"/>
        <item x="1"/>
        <item x="0"/>
        <item x="22"/>
        <item x="5"/>
        <item x="23"/>
        <item x="17"/>
        <item x="49"/>
        <item x="18"/>
        <item x="48"/>
        <item x="6"/>
        <item x="36"/>
        <item x="58"/>
        <item x="46"/>
        <item x="35"/>
        <item x="7"/>
        <item x="75"/>
        <item x="68"/>
        <item x="8"/>
        <item x="69"/>
        <item x="77"/>
        <item x="9"/>
        <item t="default"/>
      </items>
    </pivotField>
    <pivotField dataField="1" showAll="0"/>
  </pivotFields>
  <rowFields count="1">
    <field x="2"/>
  </rowFields>
  <rowItems count="87">
    <i>
      <x v="35"/>
    </i>
    <i>
      <x v="11"/>
    </i>
    <i>
      <x v="64"/>
    </i>
    <i>
      <x v="34"/>
    </i>
    <i>
      <x v="71"/>
    </i>
    <i>
      <x v="45"/>
    </i>
    <i>
      <x v="72"/>
    </i>
    <i>
      <x v="16"/>
    </i>
    <i>
      <x v="36"/>
    </i>
    <i>
      <x v="30"/>
    </i>
    <i>
      <x v="1"/>
    </i>
    <i>
      <x v="14"/>
    </i>
    <i>
      <x v="79"/>
    </i>
    <i>
      <x v="59"/>
    </i>
    <i>
      <x v="56"/>
    </i>
    <i>
      <x v="3"/>
    </i>
    <i>
      <x v="46"/>
    </i>
    <i>
      <x v="9"/>
    </i>
    <i>
      <x v="48"/>
    </i>
    <i>
      <x v="54"/>
    </i>
    <i>
      <x v="55"/>
    </i>
    <i>
      <x v="41"/>
    </i>
    <i>
      <x v="49"/>
    </i>
    <i>
      <x v="22"/>
    </i>
    <i>
      <x v="42"/>
    </i>
    <i>
      <x v="4"/>
    </i>
    <i>
      <x v="39"/>
    </i>
    <i>
      <x v="60"/>
    </i>
    <i>
      <x v="69"/>
    </i>
    <i>
      <x v="5"/>
    </i>
    <i>
      <x v="37"/>
    </i>
    <i>
      <x/>
    </i>
    <i>
      <x v="81"/>
    </i>
    <i>
      <x v="33"/>
    </i>
    <i>
      <x v="18"/>
    </i>
    <i>
      <x v="73"/>
    </i>
    <i>
      <x v="52"/>
    </i>
    <i>
      <x v="43"/>
    </i>
    <i>
      <x v="57"/>
    </i>
    <i>
      <x v="70"/>
    </i>
    <i>
      <x v="6"/>
    </i>
    <i>
      <x v="29"/>
    </i>
    <i>
      <x v="50"/>
    </i>
    <i>
      <x v="85"/>
    </i>
    <i>
      <x v="38"/>
    </i>
    <i>
      <x v="65"/>
    </i>
    <i>
      <x v="25"/>
    </i>
    <i>
      <x v="80"/>
    </i>
    <i>
      <x v="15"/>
    </i>
    <i>
      <x v="20"/>
    </i>
    <i>
      <x v="10"/>
    </i>
    <i>
      <x v="63"/>
    </i>
    <i>
      <x v="32"/>
    </i>
    <i>
      <x v="27"/>
    </i>
    <i>
      <x v="28"/>
    </i>
    <i>
      <x v="76"/>
    </i>
    <i>
      <x v="78"/>
    </i>
    <i>
      <x v="47"/>
    </i>
    <i>
      <x v="13"/>
    </i>
    <i>
      <x v="82"/>
    </i>
    <i>
      <x v="26"/>
    </i>
    <i>
      <x v="17"/>
    </i>
    <i>
      <x v="53"/>
    </i>
    <i>
      <x v="44"/>
    </i>
    <i>
      <x v="19"/>
    </i>
    <i>
      <x v="31"/>
    </i>
    <i>
      <x v="74"/>
    </i>
    <i>
      <x v="8"/>
    </i>
    <i>
      <x v="40"/>
    </i>
    <i>
      <x v="83"/>
    </i>
    <i>
      <x v="67"/>
    </i>
    <i>
      <x v="75"/>
    </i>
    <i>
      <x v="58"/>
    </i>
    <i>
      <x v="24"/>
    </i>
    <i>
      <x v="61"/>
    </i>
    <i>
      <x v="84"/>
    </i>
    <i>
      <x v="12"/>
    </i>
    <i>
      <x v="23"/>
    </i>
    <i>
      <x v="68"/>
    </i>
    <i>
      <x v="77"/>
    </i>
    <i>
      <x v="21"/>
    </i>
    <i>
      <x v="7"/>
    </i>
    <i>
      <x v="62"/>
    </i>
    <i>
      <x v="66"/>
    </i>
    <i>
      <x v="51"/>
    </i>
    <i>
      <x v="2"/>
    </i>
    <i t="grand">
      <x/>
    </i>
  </rowItems>
  <colItems count="1">
    <i/>
  </colItems>
  <dataFields count="1">
    <dataField name="Sum of price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9A27D-46EC-414D-B04F-59D13BC36DA1}" name="Table1" displayName="Table1" ref="B3:E12" totalsRowShown="0">
  <autoFilter ref="B3:E12" xr:uid="{71E9A27D-46EC-414D-B04F-59D13BC36DA1}"/>
  <sortState xmlns:xlrd2="http://schemas.microsoft.com/office/spreadsheetml/2017/richdata2" ref="B4:E12">
    <sortCondition ref="C3:C12"/>
  </sortState>
  <tableColumns count="4">
    <tableColumn id="1" xr3:uid="{44960582-8B82-4BA6-9AB2-252666678B83}" name="Sales"/>
    <tableColumn id="2" xr3:uid="{6856E911-E092-4BB0-B5B0-A00D91873F93}" name="Region"/>
    <tableColumn id="3" xr3:uid="{62985DE4-A365-4B05-801A-7F9B83A4B7FC}" name="Date" dataDxfId="0"/>
    <tableColumn id="4" xr3:uid="{3C31240C-4D2D-426D-9DB9-B32465D140C1}" name="Am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D38E-67A6-4581-9033-B7AD83F1959F}">
  <dimension ref="A1:Y102"/>
  <sheetViews>
    <sheetView topLeftCell="L13" zoomScale="115" zoomScaleNormal="115" workbookViewId="0">
      <selection activeCell="V25" sqref="V25"/>
    </sheetView>
  </sheetViews>
  <sheetFormatPr defaultRowHeight="14.4" x14ac:dyDescent="0.3"/>
  <cols>
    <col min="1" max="1" width="4.33203125" bestFit="1" customWidth="1"/>
    <col min="2" max="2" width="21.5546875" bestFit="1" customWidth="1"/>
    <col min="3" max="3" width="21.5546875" customWidth="1"/>
    <col min="4" max="4" width="28.88671875" bestFit="1" customWidth="1"/>
    <col min="5" max="5" width="23.44140625" bestFit="1" customWidth="1"/>
    <col min="6" max="6" width="8.44140625" bestFit="1" customWidth="1"/>
    <col min="7" max="7" width="25" bestFit="1" customWidth="1"/>
    <col min="10" max="10" width="16" bestFit="1" customWidth="1"/>
    <col min="11" max="11" width="11.33203125" bestFit="1" customWidth="1"/>
    <col min="12" max="12" width="12.44140625" bestFit="1" customWidth="1"/>
    <col min="13" max="13" width="11.77734375" bestFit="1" customWidth="1"/>
    <col min="14" max="14" width="33.109375" bestFit="1" customWidth="1"/>
    <col min="15" max="15" width="17" bestFit="1" customWidth="1"/>
    <col min="18" max="18" width="13" bestFit="1" customWidth="1"/>
    <col min="19" max="19" width="9.5546875" bestFit="1" customWidth="1"/>
    <col min="21" max="21" width="9.5546875" bestFit="1" customWidth="1"/>
    <col min="23" max="23" width="18.6640625" customWidth="1"/>
  </cols>
  <sheetData>
    <row r="1" spans="1:24" s="2" customFormat="1" x14ac:dyDescent="0.3">
      <c r="A1" s="1" t="s">
        <v>0</v>
      </c>
      <c r="B1" s="1" t="s">
        <v>1</v>
      </c>
      <c r="C1" s="9" t="s">
        <v>383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372</v>
      </c>
      <c r="I1" s="2" t="s">
        <v>373</v>
      </c>
      <c r="J1" s="2" t="s">
        <v>376</v>
      </c>
      <c r="K1" s="2" t="s">
        <v>377</v>
      </c>
      <c r="L1" s="2" t="s">
        <v>378</v>
      </c>
      <c r="M1" s="2" t="s">
        <v>379</v>
      </c>
      <c r="N1" s="2" t="s">
        <v>382</v>
      </c>
      <c r="O1" s="2" t="s">
        <v>386</v>
      </c>
      <c r="R1" s="2" t="s">
        <v>6</v>
      </c>
      <c r="U1" s="2" t="s">
        <v>380</v>
      </c>
    </row>
    <row r="2" spans="1:24" s="4" customFormat="1" ht="19.95" customHeight="1" x14ac:dyDescent="0.25">
      <c r="A2" s="3">
        <v>1</v>
      </c>
      <c r="B2" s="3" t="s">
        <v>345</v>
      </c>
      <c r="C2" s="8" t="s">
        <v>385</v>
      </c>
      <c r="D2" s="3" t="s">
        <v>346</v>
      </c>
      <c r="E2" s="3" t="s">
        <v>347</v>
      </c>
      <c r="F2" s="6">
        <v>53.71</v>
      </c>
      <c r="G2" s="3" t="s">
        <v>348</v>
      </c>
      <c r="H2" s="4">
        <f t="shared" ref="H2:H33" si="0">RANK(F2,$F$2:$F$102,0)</f>
        <v>55</v>
      </c>
      <c r="I2" s="4">
        <f t="shared" ref="I2:I33" si="1">RANK(F2,$F$2:$F$102,1)</f>
        <v>40</v>
      </c>
      <c r="J2" s="5" t="str">
        <f t="shared" ref="J2:J33" si="2">IF(F2&gt;$S$3,"greater than avg","less than avg")</f>
        <v>less than avg</v>
      </c>
      <c r="K2" s="6" t="str">
        <f t="shared" ref="K2:K33" si="3">LEFT(G2,5)</f>
        <v>50 Gr</v>
      </c>
      <c r="L2" s="4" t="str">
        <f t="shared" ref="L2:L33" si="4">RIGHT(G2,4)</f>
        <v>oint</v>
      </c>
      <c r="M2" s="4" t="str">
        <f t="shared" ref="M2:M33" si="5">MID(G2,5,4)</f>
        <v>rove</v>
      </c>
      <c r="N2" s="4" t="str">
        <f t="shared" ref="N2:N33" si="6">IF(AND(F2&gt;50,F2&lt;70),"picked","not picked")</f>
        <v>picked</v>
      </c>
      <c r="O2" s="4" t="str">
        <f t="shared" ref="O2:O33" si="7">IF(LEFT(C2,1) ="F","Potential customer","Not potential")</f>
        <v>Not potential</v>
      </c>
      <c r="R2" s="5" t="s">
        <v>11</v>
      </c>
      <c r="S2" s="7">
        <f>SUM(F2:F102)</f>
        <v>5452.1</v>
      </c>
      <c r="U2" s="4" t="b">
        <v>1</v>
      </c>
      <c r="V2" s="4" t="b">
        <v>1</v>
      </c>
      <c r="W2" s="4" t="b">
        <f>AND(U2,V2)</f>
        <v>1</v>
      </c>
    </row>
    <row r="3" spans="1:24" s="4" customFormat="1" ht="19.95" customHeight="1" x14ac:dyDescent="0.25">
      <c r="A3" s="3">
        <v>2</v>
      </c>
      <c r="B3" s="3" t="s">
        <v>71</v>
      </c>
      <c r="C3" s="8" t="s">
        <v>385</v>
      </c>
      <c r="D3" s="3" t="s">
        <v>72</v>
      </c>
      <c r="E3" s="3" t="s">
        <v>73</v>
      </c>
      <c r="F3" s="6">
        <v>29.55</v>
      </c>
      <c r="G3" s="3" t="s">
        <v>74</v>
      </c>
      <c r="H3" s="4">
        <f t="shared" si="0"/>
        <v>69</v>
      </c>
      <c r="I3" s="4">
        <f t="shared" si="1"/>
        <v>26</v>
      </c>
      <c r="J3" s="5" t="str">
        <f t="shared" si="2"/>
        <v>less than avg</v>
      </c>
      <c r="K3" s="6" t="str">
        <f t="shared" si="3"/>
        <v>99782</v>
      </c>
      <c r="L3" s="4" t="str">
        <f t="shared" si="4"/>
        <v>rcle</v>
      </c>
      <c r="M3" s="4" t="str">
        <f t="shared" si="5"/>
        <v>2 Pe</v>
      </c>
      <c r="N3" s="4" t="str">
        <f t="shared" si="6"/>
        <v>not picked</v>
      </c>
      <c r="O3" s="4" t="str">
        <f t="shared" si="7"/>
        <v>Not potential</v>
      </c>
      <c r="R3" s="5" t="s">
        <v>15</v>
      </c>
      <c r="S3" s="7">
        <f>AVERAGE(F2:F102)</f>
        <v>58.001063829787235</v>
      </c>
      <c r="U3" s="4" t="b">
        <v>1</v>
      </c>
      <c r="V3" s="4" t="b">
        <v>0</v>
      </c>
      <c r="W3" s="4" t="b">
        <f t="shared" ref="W3:W5" si="8">AND(U3,V3)</f>
        <v>0</v>
      </c>
    </row>
    <row r="4" spans="1:24" s="4" customFormat="1" ht="19.95" customHeight="1" x14ac:dyDescent="0.25">
      <c r="A4" s="3">
        <v>3</v>
      </c>
      <c r="B4" s="3" t="s">
        <v>291</v>
      </c>
      <c r="C4" s="8" t="s">
        <v>385</v>
      </c>
      <c r="D4" s="3" t="s">
        <v>292</v>
      </c>
      <c r="E4" s="3" t="s">
        <v>293</v>
      </c>
      <c r="F4" s="6">
        <v>14.17</v>
      </c>
      <c r="G4" s="3" t="s">
        <v>294</v>
      </c>
      <c r="H4" s="4">
        <f t="shared" si="0"/>
        <v>82</v>
      </c>
      <c r="I4" s="4">
        <f t="shared" si="1"/>
        <v>13</v>
      </c>
      <c r="J4" s="5" t="str">
        <f t="shared" si="2"/>
        <v>less than avg</v>
      </c>
      <c r="K4" s="6" t="str">
        <f t="shared" si="3"/>
        <v xml:space="preserve">7843 </v>
      </c>
      <c r="L4" s="4" t="str">
        <f t="shared" si="4"/>
        <v>reet</v>
      </c>
      <c r="M4" s="4" t="str">
        <f t="shared" si="5"/>
        <v xml:space="preserve"> Mar</v>
      </c>
      <c r="N4" s="4" t="str">
        <f t="shared" si="6"/>
        <v>not picked</v>
      </c>
      <c r="O4" s="4" t="str">
        <f t="shared" si="7"/>
        <v>Not potential</v>
      </c>
      <c r="R4" s="5" t="s">
        <v>20</v>
      </c>
      <c r="S4" s="7">
        <f>MAX(F2:F102)</f>
        <v>98.9</v>
      </c>
      <c r="U4" s="4" t="b">
        <v>0</v>
      </c>
      <c r="V4" s="4" t="b">
        <v>0</v>
      </c>
      <c r="W4" s="4" t="b">
        <f t="shared" si="8"/>
        <v>0</v>
      </c>
    </row>
    <row r="5" spans="1:24" s="4" customFormat="1" ht="19.95" customHeight="1" x14ac:dyDescent="0.25">
      <c r="A5" s="3">
        <v>4</v>
      </c>
      <c r="B5" s="3" t="s">
        <v>186</v>
      </c>
      <c r="C5" s="8" t="s">
        <v>385</v>
      </c>
      <c r="D5" s="3" t="s">
        <v>187</v>
      </c>
      <c r="E5" s="3" t="s">
        <v>188</v>
      </c>
      <c r="F5" s="6">
        <v>90.75</v>
      </c>
      <c r="G5" s="3" t="s">
        <v>189</v>
      </c>
      <c r="H5" s="4">
        <f t="shared" si="0"/>
        <v>16</v>
      </c>
      <c r="I5" s="4">
        <f t="shared" si="1"/>
        <v>79</v>
      </c>
      <c r="J5" s="5" t="str">
        <f t="shared" si="2"/>
        <v>greater than avg</v>
      </c>
      <c r="K5" s="6" t="str">
        <f t="shared" si="3"/>
        <v xml:space="preserve">8622 </v>
      </c>
      <c r="L5" s="4" t="str">
        <f t="shared" si="4"/>
        <v>race</v>
      </c>
      <c r="M5" s="4" t="str">
        <f t="shared" si="5"/>
        <v xml:space="preserve"> Rie</v>
      </c>
      <c r="N5" s="4" t="str">
        <f t="shared" si="6"/>
        <v>not picked</v>
      </c>
      <c r="O5" s="4" t="str">
        <f t="shared" si="7"/>
        <v>Not potential</v>
      </c>
      <c r="R5" s="5" t="s">
        <v>24</v>
      </c>
      <c r="S5" s="7">
        <f>MIN(F2:F102)</f>
        <v>1</v>
      </c>
      <c r="U5" s="4" t="b">
        <v>0</v>
      </c>
      <c r="V5" s="4" t="b">
        <v>1</v>
      </c>
      <c r="W5" s="4" t="b">
        <f t="shared" si="8"/>
        <v>0</v>
      </c>
    </row>
    <row r="6" spans="1:24" s="4" customFormat="1" ht="19.95" customHeight="1" x14ac:dyDescent="0.25">
      <c r="A6" s="3">
        <v>5</v>
      </c>
      <c r="B6" s="3" t="s">
        <v>310</v>
      </c>
      <c r="C6" s="8" t="s">
        <v>384</v>
      </c>
      <c r="D6" s="3" t="s">
        <v>307</v>
      </c>
      <c r="E6" s="3" t="s">
        <v>311</v>
      </c>
      <c r="F6" s="6">
        <v>73.22</v>
      </c>
      <c r="G6" s="3" t="s">
        <v>312</v>
      </c>
      <c r="H6" s="4">
        <f t="shared" si="0"/>
        <v>39</v>
      </c>
      <c r="I6" s="4">
        <f t="shared" si="1"/>
        <v>56</v>
      </c>
      <c r="J6" s="5" t="str">
        <f t="shared" si="2"/>
        <v>greater than avg</v>
      </c>
      <c r="K6" s="6" t="str">
        <f t="shared" si="3"/>
        <v>030 M</v>
      </c>
      <c r="L6" s="4" t="str">
        <f t="shared" si="4"/>
        <v>ourt</v>
      </c>
      <c r="M6" s="4" t="str">
        <f t="shared" si="5"/>
        <v>Mess</v>
      </c>
      <c r="N6" s="4" t="str">
        <f t="shared" si="6"/>
        <v>not picked</v>
      </c>
      <c r="O6" s="4" t="str">
        <f t="shared" si="7"/>
        <v>Potential customer</v>
      </c>
      <c r="R6" s="5" t="s">
        <v>374</v>
      </c>
      <c r="S6" s="4" t="str">
        <f>IF(1&gt;0,"true","false")</f>
        <v>true</v>
      </c>
    </row>
    <row r="7" spans="1:24" s="4" customFormat="1" ht="19.95" customHeight="1" x14ac:dyDescent="0.25">
      <c r="A7" s="3">
        <v>6</v>
      </c>
      <c r="B7" s="3" t="s">
        <v>319</v>
      </c>
      <c r="C7" s="8" t="s">
        <v>385</v>
      </c>
      <c r="D7" s="3" t="s">
        <v>317</v>
      </c>
      <c r="E7" s="3"/>
      <c r="F7" s="6">
        <v>88.45</v>
      </c>
      <c r="G7" s="3" t="s">
        <v>320</v>
      </c>
      <c r="H7" s="4">
        <f t="shared" si="0"/>
        <v>20</v>
      </c>
      <c r="I7" s="4">
        <f t="shared" si="1"/>
        <v>75</v>
      </c>
      <c r="J7" s="5" t="str">
        <f t="shared" si="2"/>
        <v>greater than avg</v>
      </c>
      <c r="K7" s="6" t="str">
        <f t="shared" si="3"/>
        <v>8 Col</v>
      </c>
      <c r="L7" s="4" t="str">
        <f t="shared" si="4"/>
        <v>reet</v>
      </c>
      <c r="M7" s="4" t="str">
        <f t="shared" si="5"/>
        <v>lora</v>
      </c>
      <c r="N7" s="4" t="str">
        <f t="shared" si="6"/>
        <v>not picked</v>
      </c>
      <c r="O7" s="4" t="str">
        <f t="shared" si="7"/>
        <v>Not potential</v>
      </c>
      <c r="R7" s="5" t="s">
        <v>375</v>
      </c>
      <c r="S7" s="4" t="str">
        <f>IF(0&gt;1,"true","false")</f>
        <v>false</v>
      </c>
      <c r="U7" s="5" t="s">
        <v>381</v>
      </c>
    </row>
    <row r="8" spans="1:24" s="4" customFormat="1" ht="19.95" customHeight="1" x14ac:dyDescent="0.25">
      <c r="A8" s="3">
        <v>7</v>
      </c>
      <c r="B8" s="3" t="s">
        <v>193</v>
      </c>
      <c r="C8" s="8" t="s">
        <v>385</v>
      </c>
      <c r="D8" s="3" t="s">
        <v>194</v>
      </c>
      <c r="E8" s="3" t="s">
        <v>195</v>
      </c>
      <c r="F8" s="6">
        <v>71.78</v>
      </c>
      <c r="G8" s="3" t="s">
        <v>196</v>
      </c>
      <c r="H8" s="4">
        <f t="shared" si="0"/>
        <v>42</v>
      </c>
      <c r="I8" s="4">
        <f t="shared" si="1"/>
        <v>53</v>
      </c>
      <c r="J8" s="5" t="str">
        <f t="shared" si="2"/>
        <v>greater than avg</v>
      </c>
      <c r="K8" s="6" t="str">
        <f t="shared" si="3"/>
        <v>7 Sun</v>
      </c>
      <c r="L8" s="4" t="str">
        <f t="shared" si="4"/>
        <v>rive</v>
      </c>
      <c r="M8" s="4" t="str">
        <f t="shared" si="5"/>
        <v>nbro</v>
      </c>
      <c r="N8" s="4" t="str">
        <f t="shared" si="6"/>
        <v>not picked</v>
      </c>
      <c r="O8" s="4" t="str">
        <f t="shared" si="7"/>
        <v>Not potential</v>
      </c>
      <c r="U8" s="4" t="b">
        <v>1</v>
      </c>
      <c r="V8" s="4" t="b">
        <v>1</v>
      </c>
      <c r="W8" s="4" t="b">
        <f>OR(U8,V8)</f>
        <v>1</v>
      </c>
    </row>
    <row r="9" spans="1:24" s="4" customFormat="1" ht="19.95" customHeight="1" x14ac:dyDescent="0.25">
      <c r="A9" s="3">
        <v>8</v>
      </c>
      <c r="B9" s="3" t="s">
        <v>144</v>
      </c>
      <c r="C9" s="8" t="s">
        <v>384</v>
      </c>
      <c r="D9" s="3" t="s">
        <v>145</v>
      </c>
      <c r="E9" s="3" t="s">
        <v>92</v>
      </c>
      <c r="F9" s="6">
        <v>45.59</v>
      </c>
      <c r="G9" s="3" t="s">
        <v>146</v>
      </c>
      <c r="H9" s="4">
        <f t="shared" si="0"/>
        <v>63</v>
      </c>
      <c r="I9" s="4">
        <f t="shared" si="1"/>
        <v>32</v>
      </c>
      <c r="J9" s="5" t="str">
        <f t="shared" si="2"/>
        <v>less than avg</v>
      </c>
      <c r="K9" s="6" t="str">
        <f t="shared" si="3"/>
        <v>732 S</v>
      </c>
      <c r="L9" s="4" t="str">
        <f t="shared" si="4"/>
        <v>enue</v>
      </c>
      <c r="M9" s="4" t="str">
        <f t="shared" si="5"/>
        <v>Spri</v>
      </c>
      <c r="N9" s="4" t="str">
        <f t="shared" si="6"/>
        <v>not picked</v>
      </c>
      <c r="O9" s="4" t="str">
        <f t="shared" si="7"/>
        <v>Potential customer</v>
      </c>
      <c r="R9" s="5" t="s">
        <v>403</v>
      </c>
      <c r="S9" s="4">
        <f>ROW(M9)</f>
        <v>9</v>
      </c>
      <c r="U9" s="4" t="b">
        <v>1</v>
      </c>
      <c r="V9" s="4" t="b">
        <v>0</v>
      </c>
      <c r="W9" s="4" t="b">
        <f t="shared" ref="W9:W11" si="9">OR(U9,V9)</f>
        <v>1</v>
      </c>
    </row>
    <row r="10" spans="1:24" s="4" customFormat="1" ht="19.95" customHeight="1" x14ac:dyDescent="0.25">
      <c r="A10" s="3">
        <v>9</v>
      </c>
      <c r="B10" s="3" t="s">
        <v>254</v>
      </c>
      <c r="C10" s="8" t="s">
        <v>385</v>
      </c>
      <c r="D10" s="3" t="s">
        <v>255</v>
      </c>
      <c r="E10" s="3" t="s">
        <v>256</v>
      </c>
      <c r="F10" s="6">
        <v>9.5500000000000007</v>
      </c>
      <c r="G10" s="3" t="s">
        <v>257</v>
      </c>
      <c r="H10" s="4">
        <f t="shared" si="0"/>
        <v>84</v>
      </c>
      <c r="I10" s="4">
        <f t="shared" si="1"/>
        <v>11</v>
      </c>
      <c r="J10" s="5" t="str">
        <f t="shared" si="2"/>
        <v>less than avg</v>
      </c>
      <c r="K10" s="6" t="str">
        <f t="shared" si="3"/>
        <v>01 Tr</v>
      </c>
      <c r="L10" s="4" t="str">
        <f t="shared" si="4"/>
        <v>laza</v>
      </c>
      <c r="M10" s="4" t="str">
        <f t="shared" si="5"/>
        <v>rail</v>
      </c>
      <c r="N10" s="4" t="str">
        <f t="shared" si="6"/>
        <v>not picked</v>
      </c>
      <c r="O10" s="4" t="str">
        <f t="shared" si="7"/>
        <v>Not potential</v>
      </c>
      <c r="R10" s="5" t="s">
        <v>404</v>
      </c>
      <c r="S10" s="4">
        <f>ROWS(K8:K21)</f>
        <v>14</v>
      </c>
      <c r="U10" s="4" t="b">
        <v>0</v>
      </c>
      <c r="V10" s="4" t="b">
        <v>0</v>
      </c>
      <c r="W10" s="4" t="b">
        <f t="shared" si="9"/>
        <v>0</v>
      </c>
    </row>
    <row r="11" spans="1:24" s="4" customFormat="1" ht="19.95" customHeight="1" x14ac:dyDescent="0.25">
      <c r="A11" s="3">
        <v>10</v>
      </c>
      <c r="B11" s="3" t="s">
        <v>258</v>
      </c>
      <c r="C11" s="8" t="s">
        <v>384</v>
      </c>
      <c r="D11" s="3" t="s">
        <v>259</v>
      </c>
      <c r="E11" s="3" t="s">
        <v>260</v>
      </c>
      <c r="F11" s="6">
        <v>97.12</v>
      </c>
      <c r="G11" s="3" t="s">
        <v>261</v>
      </c>
      <c r="H11" s="4">
        <f t="shared" si="0"/>
        <v>6</v>
      </c>
      <c r="I11" s="4">
        <f t="shared" si="1"/>
        <v>89</v>
      </c>
      <c r="J11" s="5" t="str">
        <f t="shared" si="2"/>
        <v>greater than avg</v>
      </c>
      <c r="K11" s="6" t="str">
        <f t="shared" si="3"/>
        <v>6 Thi</v>
      </c>
      <c r="L11" s="4" t="str">
        <f t="shared" si="4"/>
        <v>Park</v>
      </c>
      <c r="M11" s="4" t="str">
        <f t="shared" si="5"/>
        <v>iere</v>
      </c>
      <c r="N11" s="4" t="str">
        <f t="shared" si="6"/>
        <v>not picked</v>
      </c>
      <c r="O11" s="4" t="str">
        <f t="shared" si="7"/>
        <v>Potential customer</v>
      </c>
      <c r="R11" s="5" t="s">
        <v>405</v>
      </c>
      <c r="S11" s="4">
        <f>COUNT(F2:F102)</f>
        <v>94</v>
      </c>
      <c r="U11" s="4" t="b">
        <v>0</v>
      </c>
      <c r="V11" s="4" t="b">
        <v>1</v>
      </c>
      <c r="W11" s="4" t="b">
        <f t="shared" si="9"/>
        <v>1</v>
      </c>
    </row>
    <row r="12" spans="1:24" s="4" customFormat="1" ht="19.95" customHeight="1" x14ac:dyDescent="0.25">
      <c r="A12" s="3">
        <v>12</v>
      </c>
      <c r="B12" s="3" t="s">
        <v>324</v>
      </c>
      <c r="C12" s="8" t="s">
        <v>385</v>
      </c>
      <c r="D12" s="3" t="s">
        <v>325</v>
      </c>
      <c r="E12" s="3" t="s">
        <v>326</v>
      </c>
      <c r="F12" s="6">
        <v>19.68</v>
      </c>
      <c r="G12" s="3" t="s">
        <v>327</v>
      </c>
      <c r="H12" s="4">
        <f t="shared" si="0"/>
        <v>78</v>
      </c>
      <c r="I12" s="4">
        <f t="shared" si="1"/>
        <v>17</v>
      </c>
      <c r="J12" s="5" t="str">
        <f t="shared" si="2"/>
        <v>less than avg</v>
      </c>
      <c r="K12" s="6" t="str">
        <f t="shared" si="3"/>
        <v>23773</v>
      </c>
      <c r="L12" s="4" t="str">
        <f t="shared" si="4"/>
        <v>oint</v>
      </c>
      <c r="M12" s="4" t="str">
        <f t="shared" si="5"/>
        <v>3 Pr</v>
      </c>
      <c r="N12" s="4" t="str">
        <f t="shared" si="6"/>
        <v>not picked</v>
      </c>
      <c r="O12" s="4" t="str">
        <f t="shared" si="7"/>
        <v>Not potential</v>
      </c>
      <c r="R12" s="5" t="s">
        <v>406</v>
      </c>
      <c r="S12" s="4">
        <f>COUNTA(E2:E102)</f>
        <v>83</v>
      </c>
    </row>
    <row r="13" spans="1:24" s="4" customFormat="1" ht="19.95" customHeight="1" x14ac:dyDescent="0.25">
      <c r="A13" s="3">
        <v>13</v>
      </c>
      <c r="B13" s="3" t="s">
        <v>58</v>
      </c>
      <c r="C13" s="8" t="s">
        <v>391</v>
      </c>
      <c r="D13" s="3" t="s">
        <v>55</v>
      </c>
      <c r="E13" s="3" t="s">
        <v>59</v>
      </c>
      <c r="F13" s="6"/>
      <c r="G13" s="3" t="s">
        <v>60</v>
      </c>
      <c r="H13" s="4" t="e">
        <f t="shared" si="0"/>
        <v>#N/A</v>
      </c>
      <c r="I13" s="4" t="e">
        <f t="shared" si="1"/>
        <v>#N/A</v>
      </c>
      <c r="J13" s="5" t="str">
        <f t="shared" si="2"/>
        <v>less than avg</v>
      </c>
      <c r="K13" s="6" t="str">
        <f t="shared" si="3"/>
        <v>31854</v>
      </c>
      <c r="L13" s="4" t="str">
        <f t="shared" si="4"/>
        <v>Hill</v>
      </c>
      <c r="M13" s="4" t="str">
        <f t="shared" si="5"/>
        <v>4 Co</v>
      </c>
      <c r="N13" s="4" t="str">
        <f t="shared" si="6"/>
        <v>not picked</v>
      </c>
      <c r="O13" s="4" t="str">
        <f t="shared" si="7"/>
        <v>Not potential</v>
      </c>
      <c r="R13" s="5" t="s">
        <v>407</v>
      </c>
      <c r="S13" s="4">
        <f>COUNTBLANK(E2:E102)</f>
        <v>18</v>
      </c>
    </row>
    <row r="14" spans="1:24" s="4" customFormat="1" ht="19.95" customHeight="1" x14ac:dyDescent="0.25">
      <c r="A14" s="3">
        <v>14</v>
      </c>
      <c r="B14" s="3" t="s">
        <v>67</v>
      </c>
      <c r="C14" s="8" t="s">
        <v>384</v>
      </c>
      <c r="D14" s="3" t="s">
        <v>68</v>
      </c>
      <c r="E14" s="3" t="s">
        <v>69</v>
      </c>
      <c r="F14" s="6">
        <v>6.57</v>
      </c>
      <c r="G14" s="3" t="s">
        <v>70</v>
      </c>
      <c r="H14" s="4">
        <f t="shared" si="0"/>
        <v>89</v>
      </c>
      <c r="I14" s="4">
        <f t="shared" si="1"/>
        <v>6</v>
      </c>
      <c r="J14" s="5" t="str">
        <f t="shared" si="2"/>
        <v>less than avg</v>
      </c>
      <c r="K14" s="6" t="str">
        <f t="shared" si="3"/>
        <v>297 N</v>
      </c>
      <c r="L14" s="4" t="str">
        <f t="shared" si="4"/>
        <v>lace</v>
      </c>
      <c r="M14" s="4" t="str">
        <f t="shared" si="5"/>
        <v>Nobe</v>
      </c>
      <c r="N14" s="4" t="str">
        <f t="shared" si="6"/>
        <v>not picked</v>
      </c>
      <c r="O14" s="4" t="str">
        <f t="shared" si="7"/>
        <v>Potential customer</v>
      </c>
    </row>
    <row r="15" spans="1:24" s="4" customFormat="1" ht="19.95" customHeight="1" x14ac:dyDescent="0.25">
      <c r="A15" s="3">
        <v>15</v>
      </c>
      <c r="B15" s="3" t="s">
        <v>156</v>
      </c>
      <c r="C15" s="8" t="s">
        <v>385</v>
      </c>
      <c r="D15" s="3" t="s">
        <v>157</v>
      </c>
      <c r="E15" s="3" t="s">
        <v>77</v>
      </c>
      <c r="F15" s="6">
        <v>56.71</v>
      </c>
      <c r="G15" s="3" t="s">
        <v>158</v>
      </c>
      <c r="H15" s="4">
        <f t="shared" si="0"/>
        <v>54</v>
      </c>
      <c r="I15" s="4">
        <f t="shared" si="1"/>
        <v>41</v>
      </c>
      <c r="J15" s="5" t="str">
        <f t="shared" si="2"/>
        <v>less than avg</v>
      </c>
      <c r="K15" s="6" t="str">
        <f t="shared" si="3"/>
        <v>960 S</v>
      </c>
      <c r="L15" s="4" t="str">
        <f t="shared" si="4"/>
        <v>Road</v>
      </c>
      <c r="M15" s="4" t="str">
        <f t="shared" si="5"/>
        <v>Sage</v>
      </c>
      <c r="N15" s="4" t="str">
        <f t="shared" si="6"/>
        <v>picked</v>
      </c>
      <c r="O15" s="4" t="str">
        <f t="shared" si="7"/>
        <v>Not potential</v>
      </c>
      <c r="R15" s="5" t="s">
        <v>412</v>
      </c>
      <c r="S15" s="16">
        <f>SUMIF(F2:F102,"&gt;20",F2:F102)</f>
        <v>5275.73</v>
      </c>
      <c r="T15" s="15" t="s">
        <v>416</v>
      </c>
      <c r="U15" s="14"/>
      <c r="X15" s="4" t="s">
        <v>419</v>
      </c>
    </row>
    <row r="16" spans="1:24" s="4" customFormat="1" ht="19.95" customHeight="1" x14ac:dyDescent="0.25">
      <c r="A16" s="3">
        <v>16</v>
      </c>
      <c r="B16" s="3" t="s">
        <v>113</v>
      </c>
      <c r="C16" s="8" t="s">
        <v>384</v>
      </c>
      <c r="D16" s="3" t="s">
        <v>114</v>
      </c>
      <c r="E16" s="3"/>
      <c r="F16" s="6">
        <v>9.4</v>
      </c>
      <c r="G16" s="3" t="s">
        <v>115</v>
      </c>
      <c r="H16" s="4">
        <f t="shared" si="0"/>
        <v>85</v>
      </c>
      <c r="I16" s="4">
        <f t="shared" si="1"/>
        <v>10</v>
      </c>
      <c r="J16" s="5" t="str">
        <f t="shared" si="2"/>
        <v>less than avg</v>
      </c>
      <c r="K16" s="6" t="str">
        <f t="shared" si="3"/>
        <v>499 I</v>
      </c>
      <c r="L16" s="4" t="str">
        <f t="shared" si="4"/>
        <v>Hill</v>
      </c>
      <c r="M16" s="4" t="str">
        <f t="shared" si="5"/>
        <v>Iowa</v>
      </c>
      <c r="N16" s="4" t="str">
        <f t="shared" si="6"/>
        <v>not picked</v>
      </c>
      <c r="O16" s="4" t="str">
        <f t="shared" si="7"/>
        <v>Potential customer</v>
      </c>
      <c r="S16" s="16">
        <f>SUMIF($C$2:$C$102,"Male",$F$2:$F$102)</f>
        <v>2202.87</v>
      </c>
      <c r="T16" s="15" t="s">
        <v>417</v>
      </c>
      <c r="X16" s="4" t="s">
        <v>420</v>
      </c>
    </row>
    <row r="17" spans="1:25" s="4" customFormat="1" ht="19.95" customHeight="1" x14ac:dyDescent="0.25">
      <c r="A17" s="3">
        <v>17</v>
      </c>
      <c r="B17" s="3" t="s">
        <v>218</v>
      </c>
      <c r="C17" s="8" t="s">
        <v>385</v>
      </c>
      <c r="D17" s="3" t="s">
        <v>219</v>
      </c>
      <c r="E17" s="3" t="s">
        <v>220</v>
      </c>
      <c r="F17" s="6">
        <v>88.43</v>
      </c>
      <c r="G17" s="3" t="s">
        <v>221</v>
      </c>
      <c r="H17" s="4">
        <f t="shared" si="0"/>
        <v>21</v>
      </c>
      <c r="I17" s="4">
        <f t="shared" si="1"/>
        <v>74</v>
      </c>
      <c r="J17" s="5" t="str">
        <f t="shared" si="2"/>
        <v>greater than avg</v>
      </c>
      <c r="K17" s="6" t="str">
        <f t="shared" si="3"/>
        <v>60 Gi</v>
      </c>
      <c r="L17" s="4" t="str">
        <f t="shared" si="4"/>
        <v>reet</v>
      </c>
      <c r="M17" s="4" t="str">
        <f t="shared" si="5"/>
        <v xml:space="preserve">ina </v>
      </c>
      <c r="N17" s="4" t="str">
        <f t="shared" si="6"/>
        <v>not picked</v>
      </c>
      <c r="O17" s="4" t="str">
        <f t="shared" si="7"/>
        <v>Not potential</v>
      </c>
      <c r="S17" s="16">
        <f>SUMIF($C$2:$C$102,"&lt;&gt;Male",$F$2:$F$102)</f>
        <v>3249.23</v>
      </c>
      <c r="T17" s="15" t="s">
        <v>418</v>
      </c>
      <c r="X17" s="4" t="s">
        <v>421</v>
      </c>
    </row>
    <row r="18" spans="1:25" s="4" customFormat="1" ht="19.95" customHeight="1" x14ac:dyDescent="0.25">
      <c r="A18" s="3">
        <v>18</v>
      </c>
      <c r="B18" s="3" t="s">
        <v>124</v>
      </c>
      <c r="C18" s="8" t="s">
        <v>384</v>
      </c>
      <c r="D18" s="3" t="s">
        <v>125</v>
      </c>
      <c r="E18" s="3" t="s">
        <v>126</v>
      </c>
      <c r="F18" s="6">
        <v>43.47</v>
      </c>
      <c r="G18" s="3" t="s">
        <v>127</v>
      </c>
      <c r="H18" s="4">
        <f t="shared" si="0"/>
        <v>64</v>
      </c>
      <c r="I18" s="4">
        <f t="shared" si="1"/>
        <v>31</v>
      </c>
      <c r="J18" s="5" t="str">
        <f t="shared" si="2"/>
        <v>less than avg</v>
      </c>
      <c r="K18" s="6" t="str">
        <f t="shared" si="3"/>
        <v>126 O</v>
      </c>
      <c r="L18" s="4" t="str">
        <f t="shared" si="4"/>
        <v>reet</v>
      </c>
      <c r="M18" s="4" t="str">
        <f t="shared" si="5"/>
        <v xml:space="preserve">Oak </v>
      </c>
      <c r="N18" s="4" t="str">
        <f t="shared" si="6"/>
        <v>not picked</v>
      </c>
      <c r="O18" s="4" t="str">
        <f t="shared" si="7"/>
        <v>Potential customer</v>
      </c>
      <c r="R18" s="5" t="s">
        <v>413</v>
      </c>
      <c r="S18" s="16">
        <f>SUMIFS(F2:F102,$C$2:$C$102,"Male",F2:F102,"&gt;20")</f>
        <v>2111.0800000000004</v>
      </c>
      <c r="T18" s="15" t="s">
        <v>426</v>
      </c>
      <c r="X18" s="4" t="s">
        <v>422</v>
      </c>
    </row>
    <row r="19" spans="1:25" s="4" customFormat="1" ht="19.95" customHeight="1" x14ac:dyDescent="0.25">
      <c r="A19" s="3">
        <v>19</v>
      </c>
      <c r="B19" s="3" t="s">
        <v>98</v>
      </c>
      <c r="C19" s="8" t="s">
        <v>385</v>
      </c>
      <c r="D19" s="3" t="s">
        <v>99</v>
      </c>
      <c r="E19" s="3"/>
      <c r="F19" s="6">
        <v>52.27</v>
      </c>
      <c r="G19" s="3" t="s">
        <v>100</v>
      </c>
      <c r="H19" s="4">
        <f t="shared" si="0"/>
        <v>57</v>
      </c>
      <c r="I19" s="4">
        <f t="shared" si="1"/>
        <v>38</v>
      </c>
      <c r="J19" s="5" t="str">
        <f t="shared" si="2"/>
        <v>less than avg</v>
      </c>
      <c r="K19" s="6" t="str">
        <f t="shared" si="3"/>
        <v>86 Mo</v>
      </c>
      <c r="L19" s="4" t="str">
        <f t="shared" si="4"/>
        <v>kway</v>
      </c>
      <c r="M19" s="4" t="str">
        <f t="shared" si="5"/>
        <v>ocki</v>
      </c>
      <c r="N19" s="4" t="str">
        <f t="shared" si="6"/>
        <v>picked</v>
      </c>
      <c r="O19" s="4" t="str">
        <f t="shared" si="7"/>
        <v>Not potential</v>
      </c>
      <c r="R19" s="5" t="s">
        <v>414</v>
      </c>
      <c r="S19" s="16">
        <f>COUNTIF($C$2:$C$102,"Male")</f>
        <v>45</v>
      </c>
      <c r="T19" s="15" t="s">
        <v>427</v>
      </c>
      <c r="X19" s="4" t="s">
        <v>423</v>
      </c>
    </row>
    <row r="20" spans="1:25" s="4" customFormat="1" ht="19.95" customHeight="1" x14ac:dyDescent="0.25">
      <c r="A20" s="3">
        <v>20</v>
      </c>
      <c r="B20" s="3" t="s">
        <v>162</v>
      </c>
      <c r="C20" s="8" t="s">
        <v>385</v>
      </c>
      <c r="D20" s="3" t="s">
        <v>157</v>
      </c>
      <c r="E20" s="3" t="s">
        <v>160</v>
      </c>
      <c r="F20" s="6">
        <v>97.57</v>
      </c>
      <c r="G20" s="3" t="s">
        <v>163</v>
      </c>
      <c r="H20" s="4">
        <f t="shared" si="0"/>
        <v>5</v>
      </c>
      <c r="I20" s="4">
        <f t="shared" si="1"/>
        <v>90</v>
      </c>
      <c r="J20" s="5" t="str">
        <f t="shared" si="2"/>
        <v>greater than avg</v>
      </c>
      <c r="K20" s="6" t="str">
        <f t="shared" si="3"/>
        <v>93 Gi</v>
      </c>
      <c r="L20" s="4" t="str">
        <f t="shared" si="4"/>
        <v xml:space="preserve"> Way</v>
      </c>
      <c r="M20" s="4" t="str">
        <f t="shared" si="5"/>
        <v xml:space="preserve">ina </v>
      </c>
      <c r="N20" s="4" t="str">
        <f t="shared" si="6"/>
        <v>not picked</v>
      </c>
      <c r="O20" s="4" t="str">
        <f t="shared" si="7"/>
        <v>Not potential</v>
      </c>
      <c r="S20" s="16">
        <f>COUNTIF($C$2:$C$102,"&lt;&gt;Male")</f>
        <v>56</v>
      </c>
      <c r="T20" s="15" t="s">
        <v>428</v>
      </c>
      <c r="X20" s="4" t="s">
        <v>424</v>
      </c>
      <c r="Y20" s="5" t="s">
        <v>425</v>
      </c>
    </row>
    <row r="21" spans="1:25" s="4" customFormat="1" ht="19.95" customHeight="1" x14ac:dyDescent="0.25">
      <c r="A21" s="3">
        <v>21</v>
      </c>
      <c r="B21" s="3" t="s">
        <v>44</v>
      </c>
      <c r="C21" s="8" t="s">
        <v>384</v>
      </c>
      <c r="D21" s="3" t="s">
        <v>41</v>
      </c>
      <c r="E21" s="3" t="s">
        <v>45</v>
      </c>
      <c r="F21" s="6">
        <v>14.69</v>
      </c>
      <c r="G21" s="3" t="s">
        <v>46</v>
      </c>
      <c r="H21" s="4">
        <f t="shared" si="0"/>
        <v>80</v>
      </c>
      <c r="I21" s="4">
        <f t="shared" si="1"/>
        <v>15</v>
      </c>
      <c r="J21" s="5" t="str">
        <f t="shared" si="2"/>
        <v>less than avg</v>
      </c>
      <c r="K21" s="6" t="str">
        <f t="shared" si="3"/>
        <v>88567</v>
      </c>
      <c r="L21" s="4" t="str">
        <f t="shared" si="4"/>
        <v>reet</v>
      </c>
      <c r="M21" s="4" t="str">
        <f t="shared" si="5"/>
        <v>7 Ho</v>
      </c>
      <c r="N21" s="4" t="str">
        <f t="shared" si="6"/>
        <v>not picked</v>
      </c>
      <c r="O21" s="4" t="str">
        <f t="shared" si="7"/>
        <v>Potential customer</v>
      </c>
      <c r="R21" s="5" t="s">
        <v>415</v>
      </c>
      <c r="S21" s="16">
        <f>COUNTIFS($C$2:$C$102,"Male",F2:F102,"&gt;50")</f>
        <v>22</v>
      </c>
      <c r="T21" s="15" t="s">
        <v>430</v>
      </c>
    </row>
    <row r="22" spans="1:25" s="4" customFormat="1" ht="19.95" customHeight="1" x14ac:dyDescent="0.25">
      <c r="A22" s="3">
        <v>22</v>
      </c>
      <c r="B22" s="3" t="s">
        <v>331</v>
      </c>
      <c r="C22" s="8" t="s">
        <v>385</v>
      </c>
      <c r="D22" s="3" t="s">
        <v>332</v>
      </c>
      <c r="E22" s="3"/>
      <c r="F22" s="6">
        <v>41.93</v>
      </c>
      <c r="G22" s="3" t="s">
        <v>333</v>
      </c>
      <c r="H22" s="4">
        <f t="shared" si="0"/>
        <v>66</v>
      </c>
      <c r="I22" s="4">
        <f t="shared" si="1"/>
        <v>29</v>
      </c>
      <c r="J22" s="5" t="str">
        <f t="shared" si="2"/>
        <v>less than avg</v>
      </c>
      <c r="K22" s="6" t="str">
        <f t="shared" si="3"/>
        <v>3 Mui</v>
      </c>
      <c r="L22" s="4" t="str">
        <f t="shared" si="4"/>
        <v>rive</v>
      </c>
      <c r="M22" s="4" t="str">
        <f t="shared" si="5"/>
        <v>ir D</v>
      </c>
      <c r="N22" s="4" t="str">
        <f t="shared" si="6"/>
        <v>not picked</v>
      </c>
      <c r="O22" s="4" t="str">
        <f t="shared" si="7"/>
        <v>Not potential</v>
      </c>
      <c r="S22" s="16">
        <f>COUNTIFS(C2:C102,"Male",F2:F102,"&gt;20",F2:F102,"&lt;50")</f>
        <v>10</v>
      </c>
      <c r="T22" s="15" t="s">
        <v>429</v>
      </c>
    </row>
    <row r="23" spans="1:25" s="4" customFormat="1" ht="19.95" customHeight="1" x14ac:dyDescent="0.25">
      <c r="A23" s="3">
        <v>23</v>
      </c>
      <c r="B23" s="3" t="s">
        <v>250</v>
      </c>
      <c r="C23" s="8" t="s">
        <v>384</v>
      </c>
      <c r="D23" s="3" t="s">
        <v>251</v>
      </c>
      <c r="E23" s="3" t="s">
        <v>252</v>
      </c>
      <c r="F23" s="6">
        <v>70.55</v>
      </c>
      <c r="G23" s="3" t="s">
        <v>253</v>
      </c>
      <c r="H23" s="4">
        <f t="shared" si="0"/>
        <v>43</v>
      </c>
      <c r="I23" s="4">
        <f t="shared" si="1"/>
        <v>52</v>
      </c>
      <c r="J23" s="5" t="str">
        <f t="shared" si="2"/>
        <v>greater than avg</v>
      </c>
      <c r="K23" s="6" t="str">
        <f t="shared" si="3"/>
        <v>080 U</v>
      </c>
      <c r="L23" s="4" t="str">
        <f t="shared" si="4"/>
        <v>kway</v>
      </c>
      <c r="M23" s="4" t="str">
        <f t="shared" si="5"/>
        <v>Upha</v>
      </c>
      <c r="N23" s="4" t="str">
        <f t="shared" si="6"/>
        <v>not picked</v>
      </c>
      <c r="O23" s="4" t="str">
        <f t="shared" si="7"/>
        <v>Potential customer</v>
      </c>
    </row>
    <row r="24" spans="1:25" s="4" customFormat="1" ht="19.95" customHeight="1" x14ac:dyDescent="0.25">
      <c r="A24" s="3">
        <v>24</v>
      </c>
      <c r="B24" s="3" t="s">
        <v>136</v>
      </c>
      <c r="C24" s="8" t="s">
        <v>391</v>
      </c>
      <c r="D24" s="3" t="s">
        <v>137</v>
      </c>
      <c r="E24" s="3" t="s">
        <v>138</v>
      </c>
      <c r="F24" s="6">
        <v>98.9</v>
      </c>
      <c r="G24" s="3" t="s">
        <v>139</v>
      </c>
      <c r="H24" s="4">
        <f t="shared" si="0"/>
        <v>1</v>
      </c>
      <c r="I24" s="4">
        <f t="shared" si="1"/>
        <v>94</v>
      </c>
      <c r="J24" s="5" t="str">
        <f t="shared" si="2"/>
        <v>greater than avg</v>
      </c>
      <c r="K24" s="6" t="str">
        <f t="shared" si="3"/>
        <v>17 Ox</v>
      </c>
      <c r="L24" s="4" t="str">
        <f t="shared" si="4"/>
        <v>sing</v>
      </c>
      <c r="M24" s="4" t="str">
        <f t="shared" si="5"/>
        <v>xfor</v>
      </c>
      <c r="N24" s="4" t="str">
        <f t="shared" si="6"/>
        <v>not picked</v>
      </c>
      <c r="O24" s="4" t="str">
        <f t="shared" si="7"/>
        <v>Not potential</v>
      </c>
    </row>
    <row r="25" spans="1:25" s="4" customFormat="1" ht="19.95" customHeight="1" x14ac:dyDescent="0.25">
      <c r="A25" s="3">
        <v>25</v>
      </c>
      <c r="B25" s="3" t="s">
        <v>147</v>
      </c>
      <c r="C25" s="8" t="s">
        <v>384</v>
      </c>
      <c r="D25" s="3" t="s">
        <v>148</v>
      </c>
      <c r="E25" s="3" t="s">
        <v>134</v>
      </c>
      <c r="F25" s="6">
        <v>78.069999999999993</v>
      </c>
      <c r="G25" s="3" t="s">
        <v>149</v>
      </c>
      <c r="H25" s="4">
        <f t="shared" si="0"/>
        <v>36</v>
      </c>
      <c r="I25" s="4">
        <f t="shared" si="1"/>
        <v>59</v>
      </c>
      <c r="J25" s="5" t="str">
        <f t="shared" si="2"/>
        <v>greater than avg</v>
      </c>
      <c r="K25" s="6" t="str">
        <f t="shared" si="3"/>
        <v>9 Mal</v>
      </c>
      <c r="L25" s="4" t="str">
        <f t="shared" si="4"/>
        <v>lace</v>
      </c>
      <c r="M25" s="4" t="str">
        <f t="shared" si="5"/>
        <v>llor</v>
      </c>
      <c r="N25" s="4" t="str">
        <f t="shared" si="6"/>
        <v>not picked</v>
      </c>
      <c r="O25" s="4" t="str">
        <f t="shared" si="7"/>
        <v>Potential customer</v>
      </c>
    </row>
    <row r="26" spans="1:25" s="4" customFormat="1" ht="19.95" customHeight="1" x14ac:dyDescent="0.25">
      <c r="A26" s="3">
        <v>26</v>
      </c>
      <c r="B26" s="3" t="s">
        <v>197</v>
      </c>
      <c r="C26" s="8" t="s">
        <v>385</v>
      </c>
      <c r="D26" s="3" t="s">
        <v>198</v>
      </c>
      <c r="E26" s="3" t="s">
        <v>199</v>
      </c>
      <c r="F26" s="6">
        <v>25.94</v>
      </c>
      <c r="G26" s="3" t="s">
        <v>200</v>
      </c>
      <c r="H26" s="4">
        <f t="shared" si="0"/>
        <v>73</v>
      </c>
      <c r="I26" s="4">
        <f t="shared" si="1"/>
        <v>22</v>
      </c>
      <c r="J26" s="5" t="str">
        <f t="shared" si="2"/>
        <v>less than avg</v>
      </c>
      <c r="K26" s="6" t="str">
        <f t="shared" si="3"/>
        <v>00 Gl</v>
      </c>
      <c r="L26" s="4" t="str">
        <f t="shared" si="4"/>
        <v>tion</v>
      </c>
      <c r="M26" s="4" t="str">
        <f t="shared" si="5"/>
        <v>laci</v>
      </c>
      <c r="N26" s="4" t="str">
        <f t="shared" si="6"/>
        <v>not picked</v>
      </c>
      <c r="O26" s="4" t="str">
        <f t="shared" si="7"/>
        <v>Not potential</v>
      </c>
    </row>
    <row r="27" spans="1:25" s="4" customFormat="1" ht="19.95" customHeight="1" x14ac:dyDescent="0.25">
      <c r="A27" s="3">
        <v>27</v>
      </c>
      <c r="B27" s="3" t="s">
        <v>36</v>
      </c>
      <c r="C27" s="8" t="s">
        <v>385</v>
      </c>
      <c r="D27" s="3" t="s">
        <v>37</v>
      </c>
      <c r="E27" s="3" t="s">
        <v>38</v>
      </c>
      <c r="F27" s="6"/>
      <c r="G27" s="3" t="s">
        <v>39</v>
      </c>
      <c r="H27" s="4" t="e">
        <f t="shared" si="0"/>
        <v>#N/A</v>
      </c>
      <c r="I27" s="4" t="e">
        <f t="shared" si="1"/>
        <v>#N/A</v>
      </c>
      <c r="J27" s="5" t="str">
        <f t="shared" si="2"/>
        <v>less than avg</v>
      </c>
      <c r="K27" s="6" t="str">
        <f t="shared" si="3"/>
        <v>901 M</v>
      </c>
      <c r="L27" s="4" t="str">
        <f t="shared" si="4"/>
        <v>rail</v>
      </c>
      <c r="M27" s="4" t="str">
        <f t="shared" si="5"/>
        <v>Mcgu</v>
      </c>
      <c r="N27" s="4" t="str">
        <f t="shared" si="6"/>
        <v>not picked</v>
      </c>
      <c r="O27" s="4" t="str">
        <f t="shared" si="7"/>
        <v>Not potential</v>
      </c>
    </row>
    <row r="28" spans="1:25" s="4" customFormat="1" ht="19.95" customHeight="1" x14ac:dyDescent="0.25">
      <c r="A28" s="3">
        <v>28</v>
      </c>
      <c r="B28" s="3" t="s">
        <v>262</v>
      </c>
      <c r="C28" s="8" t="s">
        <v>385</v>
      </c>
      <c r="D28" s="3" t="s">
        <v>263</v>
      </c>
      <c r="E28" s="3" t="s">
        <v>264</v>
      </c>
      <c r="F28" s="6">
        <v>83.04</v>
      </c>
      <c r="G28" s="3" t="s">
        <v>265</v>
      </c>
      <c r="H28" s="4">
        <f t="shared" si="0"/>
        <v>28</v>
      </c>
      <c r="I28" s="4">
        <f t="shared" si="1"/>
        <v>67</v>
      </c>
      <c r="J28" s="5" t="str">
        <f t="shared" si="2"/>
        <v>greater than avg</v>
      </c>
      <c r="K28" s="6" t="str">
        <f t="shared" si="3"/>
        <v>736 S</v>
      </c>
      <c r="L28" s="4" t="str">
        <f t="shared" si="4"/>
        <v>tion</v>
      </c>
      <c r="M28" s="4" t="str">
        <f t="shared" si="5"/>
        <v>Sunn</v>
      </c>
      <c r="N28" s="4" t="str">
        <f t="shared" si="6"/>
        <v>not picked</v>
      </c>
      <c r="O28" s="4" t="str">
        <f t="shared" si="7"/>
        <v>Not potential</v>
      </c>
    </row>
    <row r="29" spans="1:25" s="4" customFormat="1" ht="19.95" customHeight="1" x14ac:dyDescent="0.25">
      <c r="A29" s="3">
        <v>29</v>
      </c>
      <c r="B29" s="3" t="s">
        <v>299</v>
      </c>
      <c r="C29" s="8" t="s">
        <v>384</v>
      </c>
      <c r="D29" s="3" t="s">
        <v>300</v>
      </c>
      <c r="E29" s="3" t="s">
        <v>301</v>
      </c>
      <c r="F29" s="6">
        <v>81.22</v>
      </c>
      <c r="G29" s="3" t="s">
        <v>302</v>
      </c>
      <c r="H29" s="4">
        <f t="shared" si="0"/>
        <v>30</v>
      </c>
      <c r="I29" s="4">
        <f t="shared" si="1"/>
        <v>65</v>
      </c>
      <c r="J29" s="5" t="str">
        <f t="shared" si="2"/>
        <v>greater than avg</v>
      </c>
      <c r="K29" s="6" t="str">
        <f t="shared" si="3"/>
        <v>21519</v>
      </c>
      <c r="L29" s="4" t="str">
        <f t="shared" si="4"/>
        <v>nter</v>
      </c>
      <c r="M29" s="4" t="str">
        <f t="shared" si="5"/>
        <v>9 No</v>
      </c>
      <c r="N29" s="4" t="str">
        <f t="shared" si="6"/>
        <v>not picked</v>
      </c>
      <c r="O29" s="4" t="str">
        <f t="shared" si="7"/>
        <v>Potential customer</v>
      </c>
    </row>
    <row r="30" spans="1:25" s="4" customFormat="1" ht="19.95" customHeight="1" x14ac:dyDescent="0.25">
      <c r="A30" s="3">
        <v>30</v>
      </c>
      <c r="B30" s="3" t="s">
        <v>154</v>
      </c>
      <c r="C30" s="8" t="s">
        <v>385</v>
      </c>
      <c r="D30" s="3" t="s">
        <v>151</v>
      </c>
      <c r="E30" s="3" t="s">
        <v>152</v>
      </c>
      <c r="F30" s="6">
        <v>90.49</v>
      </c>
      <c r="G30" s="3" t="s">
        <v>155</v>
      </c>
      <c r="H30" s="4">
        <f t="shared" si="0"/>
        <v>17</v>
      </c>
      <c r="I30" s="4">
        <f t="shared" si="1"/>
        <v>78</v>
      </c>
      <c r="J30" s="5" t="str">
        <f t="shared" si="2"/>
        <v>greater than avg</v>
      </c>
      <c r="K30" s="6" t="str">
        <f t="shared" si="3"/>
        <v>4 Sch</v>
      </c>
      <c r="L30" s="4" t="str">
        <f t="shared" si="4"/>
        <v>laza</v>
      </c>
      <c r="M30" s="4" t="str">
        <f t="shared" si="5"/>
        <v>hmed</v>
      </c>
      <c r="N30" s="4" t="str">
        <f t="shared" si="6"/>
        <v>not picked</v>
      </c>
      <c r="O30" s="4" t="str">
        <f t="shared" si="7"/>
        <v>Not potential</v>
      </c>
    </row>
    <row r="31" spans="1:25" s="4" customFormat="1" ht="19.95" customHeight="1" x14ac:dyDescent="0.25">
      <c r="A31" s="3">
        <v>31</v>
      </c>
      <c r="B31" s="3" t="s">
        <v>90</v>
      </c>
      <c r="C31" s="8" t="s">
        <v>385</v>
      </c>
      <c r="D31" s="3" t="s">
        <v>91</v>
      </c>
      <c r="E31" s="3" t="s">
        <v>92</v>
      </c>
      <c r="F31" s="6">
        <v>26.85</v>
      </c>
      <c r="G31" s="3" t="s">
        <v>93</v>
      </c>
      <c r="H31" s="4">
        <f t="shared" si="0"/>
        <v>71</v>
      </c>
      <c r="I31" s="4">
        <f t="shared" si="1"/>
        <v>24</v>
      </c>
      <c r="J31" s="5" t="str">
        <f t="shared" si="2"/>
        <v>less than avg</v>
      </c>
      <c r="K31" s="6" t="str">
        <f t="shared" si="3"/>
        <v>4 Cor</v>
      </c>
      <c r="L31" s="4" t="str">
        <f t="shared" si="4"/>
        <v>rive</v>
      </c>
      <c r="M31" s="4" t="str">
        <f t="shared" si="5"/>
        <v>rben</v>
      </c>
      <c r="N31" s="4" t="str">
        <f t="shared" si="6"/>
        <v>not picked</v>
      </c>
      <c r="O31" s="4" t="str">
        <f t="shared" si="7"/>
        <v>Not potential</v>
      </c>
    </row>
    <row r="32" spans="1:25" s="4" customFormat="1" ht="19.95" customHeight="1" x14ac:dyDescent="0.25">
      <c r="A32" s="3">
        <v>32</v>
      </c>
      <c r="B32" s="3" t="s">
        <v>238</v>
      </c>
      <c r="C32" s="8" t="s">
        <v>384</v>
      </c>
      <c r="D32" s="3" t="s">
        <v>239</v>
      </c>
      <c r="E32" s="3" t="s">
        <v>240</v>
      </c>
      <c r="F32" s="6">
        <v>92.34</v>
      </c>
      <c r="G32" s="3" t="s">
        <v>241</v>
      </c>
      <c r="H32" s="4">
        <f t="shared" si="0"/>
        <v>13</v>
      </c>
      <c r="I32" s="4">
        <f t="shared" si="1"/>
        <v>82</v>
      </c>
      <c r="J32" s="5" t="str">
        <f t="shared" si="2"/>
        <v>greater than avg</v>
      </c>
      <c r="K32" s="6" t="str">
        <f t="shared" si="3"/>
        <v>92 No</v>
      </c>
      <c r="L32" s="4" t="str">
        <f t="shared" si="4"/>
        <v>Park</v>
      </c>
      <c r="M32" s="4" t="str">
        <f t="shared" si="5"/>
        <v>orth</v>
      </c>
      <c r="N32" s="4" t="str">
        <f t="shared" si="6"/>
        <v>not picked</v>
      </c>
      <c r="O32" s="4" t="str">
        <f t="shared" si="7"/>
        <v>Potential customer</v>
      </c>
    </row>
    <row r="33" spans="1:15" s="4" customFormat="1" ht="19.95" customHeight="1" x14ac:dyDescent="0.25">
      <c r="A33" s="3">
        <v>33</v>
      </c>
      <c r="B33" s="3" t="s">
        <v>273</v>
      </c>
      <c r="C33" s="8" t="s">
        <v>384</v>
      </c>
      <c r="D33" s="3" t="s">
        <v>274</v>
      </c>
      <c r="E33" s="3" t="s">
        <v>275</v>
      </c>
      <c r="F33" s="6">
        <v>49.92</v>
      </c>
      <c r="G33" s="3" t="s">
        <v>276</v>
      </c>
      <c r="H33" s="4">
        <f t="shared" si="0"/>
        <v>60</v>
      </c>
      <c r="I33" s="4">
        <f t="shared" si="1"/>
        <v>35</v>
      </c>
      <c r="J33" s="5" t="str">
        <f t="shared" si="2"/>
        <v>less than avg</v>
      </c>
      <c r="K33" s="6" t="str">
        <f t="shared" si="3"/>
        <v>4 For</v>
      </c>
      <c r="L33" s="4" t="str">
        <f t="shared" si="4"/>
        <v>Road</v>
      </c>
      <c r="M33" s="4" t="str">
        <f t="shared" si="5"/>
        <v>rest</v>
      </c>
      <c r="N33" s="4" t="str">
        <f t="shared" si="6"/>
        <v>not picked</v>
      </c>
      <c r="O33" s="4" t="str">
        <f t="shared" si="7"/>
        <v>Potential customer</v>
      </c>
    </row>
    <row r="34" spans="1:15" s="4" customFormat="1" ht="19.95" customHeight="1" x14ac:dyDescent="0.25">
      <c r="A34" s="3">
        <v>34</v>
      </c>
      <c r="B34" s="3" t="s">
        <v>234</v>
      </c>
      <c r="C34" s="8" t="s">
        <v>384</v>
      </c>
      <c r="D34" s="3" t="s">
        <v>235</v>
      </c>
      <c r="E34" s="3" t="s">
        <v>236</v>
      </c>
      <c r="F34" s="6">
        <v>26.21</v>
      </c>
      <c r="G34" s="3" t="s">
        <v>237</v>
      </c>
      <c r="H34" s="4">
        <f t="shared" ref="H34:H65" si="10">RANK(F34,$F$2:$F$102,0)</f>
        <v>72</v>
      </c>
      <c r="I34" s="4">
        <f t="shared" ref="I34:I65" si="11">RANK(F34,$F$2:$F$102,1)</f>
        <v>23</v>
      </c>
      <c r="J34" s="5" t="str">
        <f t="shared" ref="J34:J65" si="12">IF(F34&gt;$S$3,"greater than avg","less than avg")</f>
        <v>less than avg</v>
      </c>
      <c r="K34" s="6" t="str">
        <f t="shared" ref="K34:K65" si="13">LEFT(G34,5)</f>
        <v>2 Kin</v>
      </c>
      <c r="L34" s="4" t="str">
        <f t="shared" ref="L34:L65" si="14">RIGHT(G34,4)</f>
        <v>Lane</v>
      </c>
      <c r="M34" s="4" t="str">
        <f t="shared" ref="M34:M65" si="15">MID(G34,5,4)</f>
        <v xml:space="preserve">ngs </v>
      </c>
      <c r="N34" s="4" t="str">
        <f t="shared" ref="N34:N65" si="16">IF(AND(F34&gt;50,F34&lt;70),"picked","not picked")</f>
        <v>not picked</v>
      </c>
      <c r="O34" s="4" t="str">
        <f t="shared" ref="O34:O65" si="17">IF(LEFT(C34,1) ="F","Potential customer","Not potential")</f>
        <v>Potential customer</v>
      </c>
    </row>
    <row r="35" spans="1:15" s="4" customFormat="1" ht="19.95" customHeight="1" x14ac:dyDescent="0.25">
      <c r="A35" s="3">
        <v>35</v>
      </c>
      <c r="B35" s="3" t="s">
        <v>287</v>
      </c>
      <c r="C35" s="8" t="s">
        <v>385</v>
      </c>
      <c r="D35" s="3" t="s">
        <v>288</v>
      </c>
      <c r="E35" s="3" t="s">
        <v>289</v>
      </c>
      <c r="F35" s="6"/>
      <c r="G35" s="3" t="s">
        <v>290</v>
      </c>
      <c r="H35" s="4" t="e">
        <f t="shared" si="10"/>
        <v>#N/A</v>
      </c>
      <c r="I35" s="4" t="e">
        <f t="shared" si="11"/>
        <v>#N/A</v>
      </c>
      <c r="J35" s="5" t="str">
        <f t="shared" si="12"/>
        <v>less than avg</v>
      </c>
      <c r="K35" s="6" t="str">
        <f t="shared" si="13"/>
        <v xml:space="preserve">1484 </v>
      </c>
      <c r="L35" s="4" t="str">
        <f t="shared" si="14"/>
        <v>ourt</v>
      </c>
      <c r="M35" s="4" t="str">
        <f t="shared" si="15"/>
        <v xml:space="preserve"> Har</v>
      </c>
      <c r="N35" s="4" t="str">
        <f t="shared" si="16"/>
        <v>not picked</v>
      </c>
      <c r="O35" s="4" t="str">
        <f t="shared" si="17"/>
        <v>Not potential</v>
      </c>
    </row>
    <row r="36" spans="1:15" s="4" customFormat="1" ht="19.95" customHeight="1" x14ac:dyDescent="0.25">
      <c r="A36" s="3">
        <v>36</v>
      </c>
      <c r="B36" s="3" t="s">
        <v>168</v>
      </c>
      <c r="C36" s="8" t="s">
        <v>384</v>
      </c>
      <c r="D36" s="3" t="s">
        <v>165</v>
      </c>
      <c r="E36" s="3" t="s">
        <v>169</v>
      </c>
      <c r="F36" s="6">
        <v>89.2</v>
      </c>
      <c r="G36" s="3" t="s">
        <v>170</v>
      </c>
      <c r="H36" s="4">
        <f t="shared" si="10"/>
        <v>18</v>
      </c>
      <c r="I36" s="4">
        <f t="shared" si="11"/>
        <v>77</v>
      </c>
      <c r="J36" s="5" t="str">
        <f t="shared" si="12"/>
        <v>greater than avg</v>
      </c>
      <c r="K36" s="6" t="str">
        <f t="shared" si="13"/>
        <v>31610</v>
      </c>
      <c r="L36" s="4" t="str">
        <f t="shared" si="14"/>
        <v>lley</v>
      </c>
      <c r="M36" s="4" t="str">
        <f t="shared" si="15"/>
        <v>0 Le</v>
      </c>
      <c r="N36" s="4" t="str">
        <f t="shared" si="16"/>
        <v>not picked</v>
      </c>
      <c r="O36" s="4" t="str">
        <f t="shared" si="17"/>
        <v>Potential customer</v>
      </c>
    </row>
    <row r="37" spans="1:15" s="4" customFormat="1" ht="19.95" customHeight="1" x14ac:dyDescent="0.25">
      <c r="A37" s="3">
        <v>37</v>
      </c>
      <c r="B37" s="3" t="s">
        <v>277</v>
      </c>
      <c r="C37" s="8" t="s">
        <v>384</v>
      </c>
      <c r="D37" s="3" t="s">
        <v>278</v>
      </c>
      <c r="E37" s="3" t="s">
        <v>279</v>
      </c>
      <c r="F37" s="6">
        <v>91.9</v>
      </c>
      <c r="G37" s="3" t="s">
        <v>280</v>
      </c>
      <c r="H37" s="4">
        <f t="shared" si="10"/>
        <v>14</v>
      </c>
      <c r="I37" s="4">
        <f t="shared" si="11"/>
        <v>81</v>
      </c>
      <c r="J37" s="5" t="str">
        <f t="shared" si="12"/>
        <v>greater than avg</v>
      </c>
      <c r="K37" s="6" t="str">
        <f t="shared" si="13"/>
        <v xml:space="preserve">5628 </v>
      </c>
      <c r="L37" s="4" t="str">
        <f t="shared" si="14"/>
        <v>kway</v>
      </c>
      <c r="M37" s="4" t="str">
        <f t="shared" si="15"/>
        <v xml:space="preserve"> Chi</v>
      </c>
      <c r="N37" s="4" t="str">
        <f t="shared" si="16"/>
        <v>not picked</v>
      </c>
      <c r="O37" s="4" t="str">
        <f t="shared" si="17"/>
        <v>Potential customer</v>
      </c>
    </row>
    <row r="38" spans="1:15" s="4" customFormat="1" ht="19.95" customHeight="1" x14ac:dyDescent="0.25">
      <c r="A38" s="3">
        <v>38</v>
      </c>
      <c r="B38" s="3" t="s">
        <v>50</v>
      </c>
      <c r="C38" s="8" t="s">
        <v>385</v>
      </c>
      <c r="D38" s="3" t="s">
        <v>51</v>
      </c>
      <c r="E38" s="3" t="s">
        <v>52</v>
      </c>
      <c r="F38" s="6">
        <v>50.12</v>
      </c>
      <c r="G38" s="3" t="s">
        <v>53</v>
      </c>
      <c r="H38" s="4">
        <f t="shared" si="10"/>
        <v>59</v>
      </c>
      <c r="I38" s="4">
        <f t="shared" si="11"/>
        <v>36</v>
      </c>
      <c r="J38" s="5" t="str">
        <f t="shared" si="12"/>
        <v>less than avg</v>
      </c>
      <c r="K38" s="6" t="str">
        <f t="shared" si="13"/>
        <v>2 Gol</v>
      </c>
      <c r="L38" s="4" t="str">
        <f t="shared" si="14"/>
        <v>enue</v>
      </c>
      <c r="M38" s="4" t="str">
        <f t="shared" si="15"/>
        <v>lden</v>
      </c>
      <c r="N38" s="4" t="str">
        <f t="shared" si="16"/>
        <v>picked</v>
      </c>
      <c r="O38" s="4" t="str">
        <f t="shared" si="17"/>
        <v>Not potential</v>
      </c>
    </row>
    <row r="39" spans="1:15" s="4" customFormat="1" ht="19.95" customHeight="1" x14ac:dyDescent="0.25">
      <c r="A39" s="3">
        <v>39</v>
      </c>
      <c r="B39" s="3" t="s">
        <v>174</v>
      </c>
      <c r="C39" s="8" t="s">
        <v>391</v>
      </c>
      <c r="D39" s="3" t="s">
        <v>175</v>
      </c>
      <c r="E39" s="3" t="s">
        <v>176</v>
      </c>
      <c r="F39" s="6">
        <v>60.75</v>
      </c>
      <c r="G39" s="3" t="s">
        <v>177</v>
      </c>
      <c r="H39" s="4">
        <f t="shared" si="10"/>
        <v>51</v>
      </c>
      <c r="I39" s="4">
        <f t="shared" si="11"/>
        <v>44</v>
      </c>
      <c r="J39" s="5" t="str">
        <f t="shared" si="12"/>
        <v>greater than avg</v>
      </c>
      <c r="K39" s="6" t="str">
        <f t="shared" si="13"/>
        <v>58 Br</v>
      </c>
      <c r="L39" s="4" t="str">
        <f t="shared" si="14"/>
        <v>Lane</v>
      </c>
      <c r="M39" s="4" t="str">
        <f t="shared" si="15"/>
        <v>rick</v>
      </c>
      <c r="N39" s="4" t="str">
        <f t="shared" si="16"/>
        <v>picked</v>
      </c>
      <c r="O39" s="4" t="str">
        <f t="shared" si="17"/>
        <v>Not potential</v>
      </c>
    </row>
    <row r="40" spans="1:15" s="4" customFormat="1" ht="19.95" customHeight="1" x14ac:dyDescent="0.25">
      <c r="A40" s="3">
        <v>40</v>
      </c>
      <c r="B40" s="3" t="s">
        <v>222</v>
      </c>
      <c r="C40" s="8" t="s">
        <v>391</v>
      </c>
      <c r="D40" s="3" t="s">
        <v>223</v>
      </c>
      <c r="E40" s="3" t="s">
        <v>224</v>
      </c>
      <c r="F40" s="6">
        <v>64.14</v>
      </c>
      <c r="G40" s="3" t="s">
        <v>225</v>
      </c>
      <c r="H40" s="4">
        <f t="shared" si="10"/>
        <v>49</v>
      </c>
      <c r="I40" s="4">
        <f t="shared" si="11"/>
        <v>46</v>
      </c>
      <c r="J40" s="5" t="str">
        <f t="shared" si="12"/>
        <v>greater than avg</v>
      </c>
      <c r="K40" s="6" t="str">
        <f t="shared" si="13"/>
        <v>5 Rei</v>
      </c>
      <c r="L40" s="4" t="str">
        <f t="shared" si="14"/>
        <v>rail</v>
      </c>
      <c r="M40" s="4" t="str">
        <f t="shared" si="15"/>
        <v>inke</v>
      </c>
      <c r="N40" s="4" t="str">
        <f t="shared" si="16"/>
        <v>picked</v>
      </c>
      <c r="O40" s="4" t="str">
        <f t="shared" si="17"/>
        <v>Not potential</v>
      </c>
    </row>
    <row r="41" spans="1:15" s="4" customFormat="1" ht="19.95" customHeight="1" x14ac:dyDescent="0.25">
      <c r="A41" s="3">
        <v>41</v>
      </c>
      <c r="B41" s="3" t="s">
        <v>284</v>
      </c>
      <c r="C41" s="8" t="s">
        <v>385</v>
      </c>
      <c r="D41" s="3" t="s">
        <v>285</v>
      </c>
      <c r="E41" s="3" t="s">
        <v>134</v>
      </c>
      <c r="F41" s="6">
        <v>59.99</v>
      </c>
      <c r="G41" s="3" t="s">
        <v>286</v>
      </c>
      <c r="H41" s="4">
        <f t="shared" si="10"/>
        <v>52</v>
      </c>
      <c r="I41" s="4">
        <f t="shared" si="11"/>
        <v>43</v>
      </c>
      <c r="J41" s="5" t="str">
        <f t="shared" si="12"/>
        <v>greater than avg</v>
      </c>
      <c r="K41" s="6" t="str">
        <f t="shared" si="13"/>
        <v>4 But</v>
      </c>
      <c r="L41" s="4" t="str">
        <f t="shared" si="14"/>
        <v>enue</v>
      </c>
      <c r="M41" s="4" t="str">
        <f t="shared" si="15"/>
        <v>tter</v>
      </c>
      <c r="N41" s="4" t="str">
        <f t="shared" si="16"/>
        <v>picked</v>
      </c>
      <c r="O41" s="4" t="str">
        <f t="shared" si="17"/>
        <v>Not potential</v>
      </c>
    </row>
    <row r="42" spans="1:15" s="4" customFormat="1" ht="19.95" customHeight="1" x14ac:dyDescent="0.25">
      <c r="A42" s="3">
        <v>42</v>
      </c>
      <c r="B42" s="3" t="s">
        <v>33</v>
      </c>
      <c r="C42" s="8" t="s">
        <v>391</v>
      </c>
      <c r="D42" s="3" t="s">
        <v>34</v>
      </c>
      <c r="E42" s="3"/>
      <c r="F42" s="6">
        <v>66.239999999999995</v>
      </c>
      <c r="G42" s="3" t="s">
        <v>35</v>
      </c>
      <c r="H42" s="4">
        <f t="shared" si="10"/>
        <v>47</v>
      </c>
      <c r="I42" s="4">
        <f t="shared" si="11"/>
        <v>48</v>
      </c>
      <c r="J42" s="5" t="str">
        <f t="shared" si="12"/>
        <v>greater than avg</v>
      </c>
      <c r="K42" s="6" t="str">
        <f t="shared" si="13"/>
        <v>1 Sch</v>
      </c>
      <c r="L42" s="4" t="str">
        <f t="shared" si="14"/>
        <v>lley</v>
      </c>
      <c r="M42" s="4" t="str">
        <f t="shared" si="15"/>
        <v>hill</v>
      </c>
      <c r="N42" s="4" t="str">
        <f t="shared" si="16"/>
        <v>picked</v>
      </c>
      <c r="O42" s="4" t="str">
        <f t="shared" si="17"/>
        <v>Not potential</v>
      </c>
    </row>
    <row r="43" spans="1:15" s="4" customFormat="1" ht="19.95" customHeight="1" x14ac:dyDescent="0.25">
      <c r="A43" s="3">
        <v>43</v>
      </c>
      <c r="B43" s="3" t="s">
        <v>321</v>
      </c>
      <c r="C43" s="8" t="s">
        <v>385</v>
      </c>
      <c r="D43" s="3" t="s">
        <v>322</v>
      </c>
      <c r="E43" s="3"/>
      <c r="F43" s="6">
        <v>75.28</v>
      </c>
      <c r="G43" s="3" t="s">
        <v>323</v>
      </c>
      <c r="H43" s="4">
        <f t="shared" si="10"/>
        <v>38</v>
      </c>
      <c r="I43" s="4">
        <f t="shared" si="11"/>
        <v>57</v>
      </c>
      <c r="J43" s="5" t="str">
        <f t="shared" si="12"/>
        <v>greater than avg</v>
      </c>
      <c r="K43" s="6" t="str">
        <f t="shared" si="13"/>
        <v>69899</v>
      </c>
      <c r="L43" s="4" t="str">
        <f t="shared" si="14"/>
        <v>kway</v>
      </c>
      <c r="M43" s="4" t="str">
        <f t="shared" si="15"/>
        <v>9 Mo</v>
      </c>
      <c r="N43" s="4" t="str">
        <f t="shared" si="16"/>
        <v>not picked</v>
      </c>
      <c r="O43" s="4" t="str">
        <f t="shared" si="17"/>
        <v>Not potential</v>
      </c>
    </row>
    <row r="44" spans="1:15" s="4" customFormat="1" ht="19.95" customHeight="1" x14ac:dyDescent="0.25">
      <c r="A44" s="3">
        <v>44</v>
      </c>
      <c r="B44" s="3" t="s">
        <v>164</v>
      </c>
      <c r="C44" s="8" t="s">
        <v>384</v>
      </c>
      <c r="D44" s="3" t="s">
        <v>165</v>
      </c>
      <c r="E44" s="3" t="s">
        <v>166</v>
      </c>
      <c r="F44" s="6">
        <v>24.85</v>
      </c>
      <c r="G44" s="3" t="s">
        <v>167</v>
      </c>
      <c r="H44" s="4">
        <f t="shared" si="10"/>
        <v>75</v>
      </c>
      <c r="I44" s="4">
        <f t="shared" si="11"/>
        <v>20</v>
      </c>
      <c r="J44" s="5" t="str">
        <f t="shared" si="12"/>
        <v>less than avg</v>
      </c>
      <c r="K44" s="6" t="str">
        <f t="shared" si="13"/>
        <v>0 Hol</v>
      </c>
      <c r="L44" s="4" t="str">
        <f t="shared" si="14"/>
        <v>ourt</v>
      </c>
      <c r="M44" s="4" t="str">
        <f t="shared" si="15"/>
        <v>ly C</v>
      </c>
      <c r="N44" s="4" t="str">
        <f t="shared" si="16"/>
        <v>not picked</v>
      </c>
      <c r="O44" s="4" t="str">
        <f t="shared" si="17"/>
        <v>Potential customer</v>
      </c>
    </row>
    <row r="45" spans="1:15" s="4" customFormat="1" ht="19.95" customHeight="1" x14ac:dyDescent="0.25">
      <c r="A45" s="3">
        <v>45</v>
      </c>
      <c r="B45" s="3" t="s">
        <v>205</v>
      </c>
      <c r="C45" s="8" t="s">
        <v>391</v>
      </c>
      <c r="D45" s="3" t="s">
        <v>202</v>
      </c>
      <c r="E45" s="3" t="s">
        <v>206</v>
      </c>
      <c r="F45" s="6">
        <v>83.41</v>
      </c>
      <c r="G45" s="3" t="s">
        <v>207</v>
      </c>
      <c r="H45" s="4">
        <f t="shared" si="10"/>
        <v>26</v>
      </c>
      <c r="I45" s="4">
        <f t="shared" si="11"/>
        <v>69</v>
      </c>
      <c r="J45" s="5" t="str">
        <f t="shared" si="12"/>
        <v>greater than avg</v>
      </c>
      <c r="K45" s="6" t="str">
        <f t="shared" si="13"/>
        <v>26855</v>
      </c>
      <c r="L45" s="4" t="str">
        <f t="shared" si="14"/>
        <v>reet</v>
      </c>
      <c r="M45" s="4" t="str">
        <f t="shared" si="15"/>
        <v>5 Co</v>
      </c>
      <c r="N45" s="4" t="str">
        <f t="shared" si="16"/>
        <v>not picked</v>
      </c>
      <c r="O45" s="4" t="str">
        <f t="shared" si="17"/>
        <v>Not potential</v>
      </c>
    </row>
    <row r="46" spans="1:15" s="4" customFormat="1" ht="19.95" customHeight="1" x14ac:dyDescent="0.25">
      <c r="A46" s="3">
        <v>46</v>
      </c>
      <c r="B46" s="3" t="s">
        <v>334</v>
      </c>
      <c r="C46" s="8" t="s">
        <v>385</v>
      </c>
      <c r="D46" s="3" t="s">
        <v>335</v>
      </c>
      <c r="E46" s="3" t="s">
        <v>336</v>
      </c>
      <c r="F46" s="6">
        <v>1.7</v>
      </c>
      <c r="G46" s="3" t="s">
        <v>337</v>
      </c>
      <c r="H46" s="4">
        <f t="shared" si="10"/>
        <v>93</v>
      </c>
      <c r="I46" s="4">
        <f t="shared" si="11"/>
        <v>2</v>
      </c>
      <c r="J46" s="5" t="str">
        <f t="shared" si="12"/>
        <v>less than avg</v>
      </c>
      <c r="K46" s="6" t="str">
        <f t="shared" si="13"/>
        <v>5 Mel</v>
      </c>
      <c r="L46" s="4" t="str">
        <f t="shared" si="14"/>
        <v>nter</v>
      </c>
      <c r="M46" s="4" t="str">
        <f t="shared" si="15"/>
        <v>lros</v>
      </c>
      <c r="N46" s="4" t="str">
        <f t="shared" si="16"/>
        <v>not picked</v>
      </c>
      <c r="O46" s="4" t="str">
        <f t="shared" si="17"/>
        <v>Not potential</v>
      </c>
    </row>
    <row r="47" spans="1:15" s="4" customFormat="1" ht="19.95" customHeight="1" x14ac:dyDescent="0.25">
      <c r="A47" s="3">
        <v>47</v>
      </c>
      <c r="B47" s="3" t="s">
        <v>75</v>
      </c>
      <c r="C47" s="8" t="s">
        <v>385</v>
      </c>
      <c r="D47" s="3" t="s">
        <v>76</v>
      </c>
      <c r="E47" s="3" t="s">
        <v>77</v>
      </c>
      <c r="F47" s="6">
        <v>98.11</v>
      </c>
      <c r="G47" s="3" t="s">
        <v>78</v>
      </c>
      <c r="H47" s="4">
        <f t="shared" si="10"/>
        <v>3</v>
      </c>
      <c r="I47" s="4">
        <f t="shared" si="11"/>
        <v>92</v>
      </c>
      <c r="J47" s="5" t="str">
        <f t="shared" si="12"/>
        <v>greater than avg</v>
      </c>
      <c r="K47" s="6" t="str">
        <f t="shared" si="13"/>
        <v>9 Map</v>
      </c>
      <c r="L47" s="4" t="str">
        <f t="shared" si="14"/>
        <v>tion</v>
      </c>
      <c r="M47" s="4" t="str">
        <f t="shared" si="15"/>
        <v xml:space="preserve">ple </v>
      </c>
      <c r="N47" s="4" t="str">
        <f t="shared" si="16"/>
        <v>not picked</v>
      </c>
      <c r="O47" s="4" t="str">
        <f t="shared" si="17"/>
        <v>Not potential</v>
      </c>
    </row>
    <row r="48" spans="1:15" s="4" customFormat="1" ht="19.95" customHeight="1" x14ac:dyDescent="0.25">
      <c r="A48" s="3">
        <v>48</v>
      </c>
      <c r="B48" s="3" t="s">
        <v>116</v>
      </c>
      <c r="C48" s="8" t="s">
        <v>384</v>
      </c>
      <c r="D48" s="3" t="s">
        <v>117</v>
      </c>
      <c r="E48" s="3" t="s">
        <v>118</v>
      </c>
      <c r="F48" s="6">
        <v>59.86</v>
      </c>
      <c r="G48" s="3" t="s">
        <v>119</v>
      </c>
      <c r="H48" s="4">
        <f t="shared" si="10"/>
        <v>53</v>
      </c>
      <c r="I48" s="4">
        <f t="shared" si="11"/>
        <v>42</v>
      </c>
      <c r="J48" s="5" t="str">
        <f t="shared" si="12"/>
        <v>greater than avg</v>
      </c>
      <c r="K48" s="6" t="str">
        <f t="shared" si="13"/>
        <v xml:space="preserve">9770 </v>
      </c>
      <c r="L48" s="4" t="str">
        <f t="shared" si="14"/>
        <v>rive</v>
      </c>
      <c r="M48" s="4" t="str">
        <f t="shared" si="15"/>
        <v xml:space="preserve"> She</v>
      </c>
      <c r="N48" s="4" t="str">
        <f t="shared" si="16"/>
        <v>picked</v>
      </c>
      <c r="O48" s="4" t="str">
        <f t="shared" si="17"/>
        <v>Potential customer</v>
      </c>
    </row>
    <row r="49" spans="1:15" s="4" customFormat="1" ht="19.95" customHeight="1" x14ac:dyDescent="0.25">
      <c r="A49" s="3">
        <v>49</v>
      </c>
      <c r="B49" s="3" t="s">
        <v>101</v>
      </c>
      <c r="C49" s="8" t="s">
        <v>384</v>
      </c>
      <c r="D49" s="3" t="s">
        <v>102</v>
      </c>
      <c r="E49" s="3" t="s">
        <v>103</v>
      </c>
      <c r="F49" s="6"/>
      <c r="G49" s="3" t="s">
        <v>104</v>
      </c>
      <c r="H49" s="4" t="e">
        <f t="shared" si="10"/>
        <v>#N/A</v>
      </c>
      <c r="I49" s="4" t="e">
        <f t="shared" si="11"/>
        <v>#N/A</v>
      </c>
      <c r="J49" s="5" t="str">
        <f t="shared" si="12"/>
        <v>less than avg</v>
      </c>
      <c r="K49" s="6" t="str">
        <f t="shared" si="13"/>
        <v>30 Bu</v>
      </c>
      <c r="L49" s="4" t="str">
        <f t="shared" si="14"/>
        <v>lley</v>
      </c>
      <c r="M49" s="4" t="str">
        <f t="shared" si="15"/>
        <v>urro</v>
      </c>
      <c r="N49" s="4" t="str">
        <f t="shared" si="16"/>
        <v>not picked</v>
      </c>
      <c r="O49" s="4" t="str">
        <f t="shared" si="17"/>
        <v>Potential customer</v>
      </c>
    </row>
    <row r="50" spans="1:15" s="4" customFormat="1" ht="19.95" customHeight="1" x14ac:dyDescent="0.25">
      <c r="A50" s="3">
        <v>50</v>
      </c>
      <c r="B50" s="3" t="s">
        <v>109</v>
      </c>
      <c r="C50" s="8" t="s">
        <v>384</v>
      </c>
      <c r="D50" s="3" t="s">
        <v>110</v>
      </c>
      <c r="E50" s="3" t="s">
        <v>111</v>
      </c>
      <c r="F50" s="6">
        <v>5.49</v>
      </c>
      <c r="G50" s="3" t="s">
        <v>112</v>
      </c>
      <c r="H50" s="4">
        <f t="shared" si="10"/>
        <v>91</v>
      </c>
      <c r="I50" s="4">
        <f t="shared" si="11"/>
        <v>4</v>
      </c>
      <c r="J50" s="5" t="str">
        <f t="shared" si="12"/>
        <v>less than avg</v>
      </c>
      <c r="K50" s="6" t="str">
        <f t="shared" si="13"/>
        <v>7 Mem</v>
      </c>
      <c r="L50" s="4" t="str">
        <f t="shared" si="14"/>
        <v>nter</v>
      </c>
      <c r="M50" s="4" t="str">
        <f t="shared" si="15"/>
        <v>mori</v>
      </c>
      <c r="N50" s="4" t="str">
        <f t="shared" si="16"/>
        <v>not picked</v>
      </c>
      <c r="O50" s="4" t="str">
        <f t="shared" si="17"/>
        <v>Potential customer</v>
      </c>
    </row>
    <row r="51" spans="1:15" s="4" customFormat="1" ht="19.95" customHeight="1" x14ac:dyDescent="0.25">
      <c r="A51" s="3">
        <v>51</v>
      </c>
      <c r="B51" s="3" t="s">
        <v>79</v>
      </c>
      <c r="C51" s="8" t="s">
        <v>384</v>
      </c>
      <c r="D51" s="3" t="s">
        <v>80</v>
      </c>
      <c r="E51" s="3" t="s">
        <v>81</v>
      </c>
      <c r="F51" s="6">
        <v>53.67</v>
      </c>
      <c r="G51" s="3" t="s">
        <v>82</v>
      </c>
      <c r="H51" s="4">
        <f t="shared" si="10"/>
        <v>56</v>
      </c>
      <c r="I51" s="4">
        <f t="shared" si="11"/>
        <v>39</v>
      </c>
      <c r="J51" s="5" t="str">
        <f t="shared" si="12"/>
        <v>less than avg</v>
      </c>
      <c r="K51" s="6" t="str">
        <f t="shared" si="13"/>
        <v xml:space="preserve">9324 </v>
      </c>
      <c r="L51" s="4" t="str">
        <f t="shared" si="14"/>
        <v>Hill</v>
      </c>
      <c r="M51" s="4" t="str">
        <f t="shared" si="15"/>
        <v xml:space="preserve"> Gal</v>
      </c>
      <c r="N51" s="4" t="str">
        <f t="shared" si="16"/>
        <v>picked</v>
      </c>
      <c r="O51" s="4" t="str">
        <f t="shared" si="17"/>
        <v>Potential customer</v>
      </c>
    </row>
    <row r="52" spans="1:15" s="4" customFormat="1" ht="19.95" customHeight="1" x14ac:dyDescent="0.25">
      <c r="A52" s="3">
        <v>52</v>
      </c>
      <c r="B52" s="3" t="s">
        <v>246</v>
      </c>
      <c r="C52" s="8" t="s">
        <v>385</v>
      </c>
      <c r="D52" s="3" t="s">
        <v>247</v>
      </c>
      <c r="E52" s="3" t="s">
        <v>248</v>
      </c>
      <c r="F52" s="6">
        <v>96.79</v>
      </c>
      <c r="G52" s="3" t="s">
        <v>249</v>
      </c>
      <c r="H52" s="4">
        <f t="shared" si="10"/>
        <v>7</v>
      </c>
      <c r="I52" s="4">
        <f t="shared" si="11"/>
        <v>88</v>
      </c>
      <c r="J52" s="5" t="str">
        <f t="shared" si="12"/>
        <v>greater than avg</v>
      </c>
      <c r="K52" s="6" t="str">
        <f t="shared" si="13"/>
        <v>27 Bi</v>
      </c>
      <c r="L52" s="4" t="str">
        <f t="shared" si="14"/>
        <v>tion</v>
      </c>
      <c r="M52" s="4" t="str">
        <f t="shared" si="15"/>
        <v>irch</v>
      </c>
      <c r="N52" s="4" t="str">
        <f t="shared" si="16"/>
        <v>not picked</v>
      </c>
      <c r="O52" s="4" t="str">
        <f t="shared" si="17"/>
        <v>Not potential</v>
      </c>
    </row>
    <row r="53" spans="1:15" s="4" customFormat="1" ht="19.95" customHeight="1" x14ac:dyDescent="0.25">
      <c r="A53" s="3">
        <v>53</v>
      </c>
      <c r="B53" s="3" t="s">
        <v>61</v>
      </c>
      <c r="C53" s="8" t="s">
        <v>384</v>
      </c>
      <c r="D53" s="3" t="s">
        <v>55</v>
      </c>
      <c r="E53" s="3" t="s">
        <v>62</v>
      </c>
      <c r="F53" s="6">
        <v>82.16</v>
      </c>
      <c r="G53" s="3" t="s">
        <v>63</v>
      </c>
      <c r="H53" s="4">
        <f t="shared" si="10"/>
        <v>29</v>
      </c>
      <c r="I53" s="4">
        <f t="shared" si="11"/>
        <v>66</v>
      </c>
      <c r="J53" s="5" t="str">
        <f t="shared" si="12"/>
        <v>greater than avg</v>
      </c>
      <c r="K53" s="6" t="str">
        <f t="shared" si="13"/>
        <v xml:space="preserve">3760 </v>
      </c>
      <c r="L53" s="4" t="str">
        <f t="shared" si="14"/>
        <v>reet</v>
      </c>
      <c r="M53" s="4" t="str">
        <f t="shared" si="15"/>
        <v xml:space="preserve"> Nor</v>
      </c>
      <c r="N53" s="4" t="str">
        <f t="shared" si="16"/>
        <v>not picked</v>
      </c>
      <c r="O53" s="4" t="str">
        <f t="shared" si="17"/>
        <v>Potential customer</v>
      </c>
    </row>
    <row r="54" spans="1:15" s="4" customFormat="1" ht="19.95" customHeight="1" x14ac:dyDescent="0.25">
      <c r="A54" s="3">
        <v>54</v>
      </c>
      <c r="B54" s="3" t="s">
        <v>171</v>
      </c>
      <c r="C54" s="8" t="s">
        <v>384</v>
      </c>
      <c r="D54" s="3" t="s">
        <v>172</v>
      </c>
      <c r="E54" s="3"/>
      <c r="F54" s="6">
        <v>78.95</v>
      </c>
      <c r="G54" s="3" t="s">
        <v>173</v>
      </c>
      <c r="H54" s="4">
        <f t="shared" si="10"/>
        <v>33</v>
      </c>
      <c r="I54" s="4">
        <f t="shared" si="11"/>
        <v>62</v>
      </c>
      <c r="J54" s="5" t="str">
        <f t="shared" si="12"/>
        <v>greater than avg</v>
      </c>
      <c r="K54" s="6" t="str">
        <f t="shared" si="13"/>
        <v>26909</v>
      </c>
      <c r="L54" s="4" t="str">
        <f t="shared" si="14"/>
        <v>kway</v>
      </c>
      <c r="M54" s="4" t="str">
        <f t="shared" si="15"/>
        <v>9 Bl</v>
      </c>
      <c r="N54" s="4" t="str">
        <f t="shared" si="16"/>
        <v>not picked</v>
      </c>
      <c r="O54" s="4" t="str">
        <f t="shared" si="17"/>
        <v>Potential customer</v>
      </c>
    </row>
    <row r="55" spans="1:15" s="4" customFormat="1" ht="19.95" customHeight="1" x14ac:dyDescent="0.25">
      <c r="A55" s="3">
        <v>55</v>
      </c>
      <c r="B55" s="3" t="s">
        <v>212</v>
      </c>
      <c r="C55" s="8" t="s">
        <v>385</v>
      </c>
      <c r="D55" s="3" t="s">
        <v>213</v>
      </c>
      <c r="E55" s="3"/>
      <c r="F55" s="6">
        <v>34.9</v>
      </c>
      <c r="G55" s="3" t="s">
        <v>214</v>
      </c>
      <c r="H55" s="4">
        <f t="shared" si="10"/>
        <v>68</v>
      </c>
      <c r="I55" s="4">
        <f t="shared" si="11"/>
        <v>27</v>
      </c>
      <c r="J55" s="5" t="str">
        <f t="shared" si="12"/>
        <v>less than avg</v>
      </c>
      <c r="K55" s="6" t="str">
        <f t="shared" si="13"/>
        <v>1 Ame</v>
      </c>
      <c r="L55" s="4" t="str">
        <f t="shared" si="14"/>
        <v>race</v>
      </c>
      <c r="M55" s="4" t="str">
        <f t="shared" si="15"/>
        <v>eric</v>
      </c>
      <c r="N55" s="4" t="str">
        <f t="shared" si="16"/>
        <v>not picked</v>
      </c>
      <c r="O55" s="4" t="str">
        <f t="shared" si="17"/>
        <v>Not potential</v>
      </c>
    </row>
    <row r="56" spans="1:15" s="4" customFormat="1" ht="19.95" customHeight="1" x14ac:dyDescent="0.25">
      <c r="A56" s="3">
        <v>56</v>
      </c>
      <c r="B56" s="3" t="s">
        <v>353</v>
      </c>
      <c r="C56" s="8" t="s">
        <v>384</v>
      </c>
      <c r="D56" s="3" t="s">
        <v>354</v>
      </c>
      <c r="E56" s="3" t="s">
        <v>355</v>
      </c>
      <c r="F56" s="6">
        <v>7.96</v>
      </c>
      <c r="G56" s="3" t="s">
        <v>356</v>
      </c>
      <c r="H56" s="4">
        <f t="shared" si="10"/>
        <v>87</v>
      </c>
      <c r="I56" s="4">
        <f t="shared" si="11"/>
        <v>8</v>
      </c>
      <c r="J56" s="5" t="str">
        <f t="shared" si="12"/>
        <v>less than avg</v>
      </c>
      <c r="K56" s="6" t="str">
        <f t="shared" si="13"/>
        <v>0 Pra</v>
      </c>
      <c r="L56" s="4" t="str">
        <f t="shared" si="14"/>
        <v>enue</v>
      </c>
      <c r="M56" s="4" t="str">
        <f t="shared" si="15"/>
        <v>airi</v>
      </c>
      <c r="N56" s="4" t="str">
        <f t="shared" si="16"/>
        <v>not picked</v>
      </c>
      <c r="O56" s="4" t="str">
        <f t="shared" si="17"/>
        <v>Potential customer</v>
      </c>
    </row>
    <row r="57" spans="1:15" s="4" customFormat="1" ht="19.95" customHeight="1" x14ac:dyDescent="0.25">
      <c r="A57" s="3">
        <v>57</v>
      </c>
      <c r="B57" s="3" t="s">
        <v>349</v>
      </c>
      <c r="C57" s="8" t="s">
        <v>384</v>
      </c>
      <c r="D57" s="3" t="s">
        <v>350</v>
      </c>
      <c r="E57" s="3" t="s">
        <v>351</v>
      </c>
      <c r="F57" s="6">
        <v>78.08</v>
      </c>
      <c r="G57" s="3" t="s">
        <v>352</v>
      </c>
      <c r="H57" s="4">
        <f t="shared" si="10"/>
        <v>35</v>
      </c>
      <c r="I57" s="4">
        <f t="shared" si="11"/>
        <v>60</v>
      </c>
      <c r="J57" s="5" t="str">
        <f t="shared" si="12"/>
        <v>greater than avg</v>
      </c>
      <c r="K57" s="6" t="str">
        <f t="shared" si="13"/>
        <v>974 D</v>
      </c>
      <c r="L57" s="4" t="str">
        <f t="shared" si="14"/>
        <v>oint</v>
      </c>
      <c r="M57" s="4" t="str">
        <f t="shared" si="15"/>
        <v>Dixo</v>
      </c>
      <c r="N57" s="4" t="str">
        <f t="shared" si="16"/>
        <v>not picked</v>
      </c>
      <c r="O57" s="4" t="str">
        <f t="shared" si="17"/>
        <v>Potential customer</v>
      </c>
    </row>
    <row r="58" spans="1:15" s="4" customFormat="1" ht="19.95" customHeight="1" x14ac:dyDescent="0.25">
      <c r="A58" s="3">
        <v>58</v>
      </c>
      <c r="B58" s="3" t="s">
        <v>328</v>
      </c>
      <c r="C58" s="8" t="s">
        <v>385</v>
      </c>
      <c r="D58" s="3" t="s">
        <v>329</v>
      </c>
      <c r="E58" s="3"/>
      <c r="F58" s="6">
        <v>9.66</v>
      </c>
      <c r="G58" s="3" t="s">
        <v>330</v>
      </c>
      <c r="H58" s="4">
        <f t="shared" si="10"/>
        <v>83</v>
      </c>
      <c r="I58" s="4">
        <f t="shared" si="11"/>
        <v>12</v>
      </c>
      <c r="J58" s="5" t="str">
        <f t="shared" si="12"/>
        <v>less than avg</v>
      </c>
      <c r="K58" s="6" t="str">
        <f t="shared" si="13"/>
        <v>76461</v>
      </c>
      <c r="L58" s="4" t="str">
        <f t="shared" si="14"/>
        <v>Road</v>
      </c>
      <c r="M58" s="4" t="str">
        <f t="shared" si="15"/>
        <v>1 Ka</v>
      </c>
      <c r="N58" s="4" t="str">
        <f t="shared" si="16"/>
        <v>not picked</v>
      </c>
      <c r="O58" s="4" t="str">
        <f t="shared" si="17"/>
        <v>Not potential</v>
      </c>
    </row>
    <row r="59" spans="1:15" s="4" customFormat="1" ht="19.95" customHeight="1" x14ac:dyDescent="0.25">
      <c r="A59" s="3">
        <v>59</v>
      </c>
      <c r="B59" s="3" t="s">
        <v>12</v>
      </c>
      <c r="C59" s="8" t="s">
        <v>384</v>
      </c>
      <c r="D59" s="3" t="s">
        <v>13</v>
      </c>
      <c r="E59" s="3"/>
      <c r="F59" s="6">
        <v>98.13</v>
      </c>
      <c r="G59" s="3" t="s">
        <v>14</v>
      </c>
      <c r="H59" s="4">
        <f t="shared" si="10"/>
        <v>2</v>
      </c>
      <c r="I59" s="4">
        <f t="shared" si="11"/>
        <v>93</v>
      </c>
      <c r="J59" s="5" t="str">
        <f t="shared" si="12"/>
        <v>greater than avg</v>
      </c>
      <c r="K59" s="6" t="str">
        <f t="shared" si="13"/>
        <v>19622</v>
      </c>
      <c r="L59" s="4" t="str">
        <f t="shared" si="14"/>
        <v>lley</v>
      </c>
      <c r="M59" s="4" t="str">
        <f t="shared" si="15"/>
        <v>2 Me</v>
      </c>
      <c r="N59" s="4" t="str">
        <f t="shared" si="16"/>
        <v>not picked</v>
      </c>
      <c r="O59" s="4" t="str">
        <f t="shared" si="17"/>
        <v>Potential customer</v>
      </c>
    </row>
    <row r="60" spans="1:15" s="4" customFormat="1" ht="19.95" customHeight="1" x14ac:dyDescent="0.25">
      <c r="A60" s="3">
        <v>60</v>
      </c>
      <c r="B60" s="3" t="s">
        <v>242</v>
      </c>
      <c r="C60" s="8" t="s">
        <v>385</v>
      </c>
      <c r="D60" s="3" t="s">
        <v>243</v>
      </c>
      <c r="E60" s="3" t="s">
        <v>244</v>
      </c>
      <c r="F60" s="6">
        <v>91.21</v>
      </c>
      <c r="G60" s="3" t="s">
        <v>245</v>
      </c>
      <c r="H60" s="4">
        <f t="shared" si="10"/>
        <v>15</v>
      </c>
      <c r="I60" s="4">
        <f t="shared" si="11"/>
        <v>80</v>
      </c>
      <c r="J60" s="5" t="str">
        <f t="shared" si="12"/>
        <v>greater than avg</v>
      </c>
      <c r="K60" s="6" t="str">
        <f t="shared" si="13"/>
        <v>37104</v>
      </c>
      <c r="L60" s="4" t="str">
        <f t="shared" si="14"/>
        <v>race</v>
      </c>
      <c r="M60" s="4" t="str">
        <f t="shared" si="15"/>
        <v>4 Me</v>
      </c>
      <c r="N60" s="4" t="str">
        <f t="shared" si="16"/>
        <v>not picked</v>
      </c>
      <c r="O60" s="4" t="str">
        <f t="shared" si="17"/>
        <v>Not potential</v>
      </c>
    </row>
    <row r="61" spans="1:15" s="4" customFormat="1" ht="19.95" customHeight="1" x14ac:dyDescent="0.25">
      <c r="A61" s="3">
        <v>61</v>
      </c>
      <c r="B61" s="3" t="s">
        <v>25</v>
      </c>
      <c r="C61" s="8" t="s">
        <v>391</v>
      </c>
      <c r="D61" s="3" t="s">
        <v>26</v>
      </c>
      <c r="E61" s="3" t="s">
        <v>27</v>
      </c>
      <c r="F61" s="6">
        <v>83.92</v>
      </c>
      <c r="G61" s="3" t="s">
        <v>28</v>
      </c>
      <c r="H61" s="4">
        <f t="shared" si="10"/>
        <v>25</v>
      </c>
      <c r="I61" s="4">
        <f t="shared" si="11"/>
        <v>70</v>
      </c>
      <c r="J61" s="5" t="str">
        <f t="shared" si="12"/>
        <v>greater than avg</v>
      </c>
      <c r="K61" s="6" t="str">
        <f t="shared" si="13"/>
        <v>868 Q</v>
      </c>
      <c r="L61" s="4" t="str">
        <f t="shared" si="14"/>
        <v>rcle</v>
      </c>
      <c r="M61" s="4" t="str">
        <f t="shared" si="15"/>
        <v>Quin</v>
      </c>
      <c r="N61" s="4" t="str">
        <f t="shared" si="16"/>
        <v>not picked</v>
      </c>
      <c r="O61" s="4" t="str">
        <f t="shared" si="17"/>
        <v>Not potential</v>
      </c>
    </row>
    <row r="62" spans="1:15" s="4" customFormat="1" ht="19.95" customHeight="1" x14ac:dyDescent="0.25">
      <c r="A62" s="3">
        <v>62</v>
      </c>
      <c r="B62" s="3" t="s">
        <v>226</v>
      </c>
      <c r="C62" s="8" t="s">
        <v>391</v>
      </c>
      <c r="D62" s="3" t="s">
        <v>227</v>
      </c>
      <c r="E62" s="3" t="s">
        <v>228</v>
      </c>
      <c r="F62" s="6"/>
      <c r="G62" s="3" t="s">
        <v>229</v>
      </c>
      <c r="H62" s="4" t="e">
        <f t="shared" si="10"/>
        <v>#N/A</v>
      </c>
      <c r="I62" s="4" t="e">
        <f t="shared" si="11"/>
        <v>#N/A</v>
      </c>
      <c r="J62" s="5" t="str">
        <f t="shared" si="12"/>
        <v>less than avg</v>
      </c>
      <c r="K62" s="6" t="str">
        <f t="shared" si="13"/>
        <v xml:space="preserve">7316 </v>
      </c>
      <c r="L62" s="4" t="str">
        <f t="shared" si="14"/>
        <v>Hill</v>
      </c>
      <c r="M62" s="4" t="str">
        <f t="shared" si="15"/>
        <v xml:space="preserve"> Han</v>
      </c>
      <c r="N62" s="4" t="str">
        <f t="shared" si="16"/>
        <v>not picked</v>
      </c>
      <c r="O62" s="4" t="str">
        <f t="shared" si="17"/>
        <v>Not potential</v>
      </c>
    </row>
    <row r="63" spans="1:15" s="4" customFormat="1" ht="19.95" customHeight="1" x14ac:dyDescent="0.25">
      <c r="A63" s="3">
        <v>63</v>
      </c>
      <c r="B63" s="3" t="s">
        <v>182</v>
      </c>
      <c r="C63" s="8" t="s">
        <v>385</v>
      </c>
      <c r="D63" s="3" t="s">
        <v>183</v>
      </c>
      <c r="E63" s="3" t="s">
        <v>184</v>
      </c>
      <c r="F63" s="6">
        <v>15.12</v>
      </c>
      <c r="G63" s="3" t="s">
        <v>185</v>
      </c>
      <c r="H63" s="4">
        <f t="shared" si="10"/>
        <v>79</v>
      </c>
      <c r="I63" s="4">
        <f t="shared" si="11"/>
        <v>16</v>
      </c>
      <c r="J63" s="5" t="str">
        <f t="shared" si="12"/>
        <v>less than avg</v>
      </c>
      <c r="K63" s="6" t="str">
        <f t="shared" si="13"/>
        <v>63605</v>
      </c>
      <c r="L63" s="4" t="str">
        <f t="shared" si="14"/>
        <v xml:space="preserve"> Way</v>
      </c>
      <c r="M63" s="4" t="str">
        <f t="shared" si="15"/>
        <v>5 Su</v>
      </c>
      <c r="N63" s="4" t="str">
        <f t="shared" si="16"/>
        <v>not picked</v>
      </c>
      <c r="O63" s="4" t="str">
        <f t="shared" si="17"/>
        <v>Not potential</v>
      </c>
    </row>
    <row r="64" spans="1:15" s="4" customFormat="1" ht="19.95" customHeight="1" x14ac:dyDescent="0.25">
      <c r="A64" s="3">
        <v>64</v>
      </c>
      <c r="B64" s="3" t="s">
        <v>364</v>
      </c>
      <c r="C64" s="8" t="s">
        <v>385</v>
      </c>
      <c r="D64" s="3" t="s">
        <v>365</v>
      </c>
      <c r="E64" s="3" t="s">
        <v>366</v>
      </c>
      <c r="F64" s="6">
        <v>7.82</v>
      </c>
      <c r="G64" s="3" t="s">
        <v>367</v>
      </c>
      <c r="H64" s="4">
        <f t="shared" si="10"/>
        <v>88</v>
      </c>
      <c r="I64" s="4">
        <f t="shared" si="11"/>
        <v>7</v>
      </c>
      <c r="J64" s="5" t="str">
        <f t="shared" si="12"/>
        <v>less than avg</v>
      </c>
      <c r="K64" s="6" t="str">
        <f t="shared" si="13"/>
        <v>2 Mou</v>
      </c>
      <c r="L64" s="4" t="str">
        <f t="shared" si="14"/>
        <v>reet</v>
      </c>
      <c r="M64" s="4" t="str">
        <f t="shared" si="15"/>
        <v>ulto</v>
      </c>
      <c r="N64" s="4" t="str">
        <f t="shared" si="16"/>
        <v>not picked</v>
      </c>
      <c r="O64" s="4" t="str">
        <f t="shared" si="17"/>
        <v>Not potential</v>
      </c>
    </row>
    <row r="65" spans="1:15" s="4" customFormat="1" ht="19.95" customHeight="1" x14ac:dyDescent="0.25">
      <c r="A65" s="3">
        <v>65</v>
      </c>
      <c r="B65" s="3" t="s">
        <v>281</v>
      </c>
      <c r="C65" s="8" t="s">
        <v>384</v>
      </c>
      <c r="D65" s="3" t="s">
        <v>278</v>
      </c>
      <c r="E65" s="3" t="s">
        <v>282</v>
      </c>
      <c r="F65" s="6">
        <v>95.08</v>
      </c>
      <c r="G65" s="3" t="s">
        <v>283</v>
      </c>
      <c r="H65" s="4">
        <f t="shared" si="10"/>
        <v>10</v>
      </c>
      <c r="I65" s="4">
        <f t="shared" si="11"/>
        <v>85</v>
      </c>
      <c r="J65" s="5" t="str">
        <f t="shared" si="12"/>
        <v>greater than avg</v>
      </c>
      <c r="K65" s="6" t="str">
        <f t="shared" si="13"/>
        <v>78 Ru</v>
      </c>
      <c r="L65" s="4" t="str">
        <f t="shared" si="14"/>
        <v>nter</v>
      </c>
      <c r="M65" s="4" t="str">
        <f t="shared" si="15"/>
        <v>uski</v>
      </c>
      <c r="N65" s="4" t="str">
        <f t="shared" si="16"/>
        <v>not picked</v>
      </c>
      <c r="O65" s="4" t="str">
        <f t="shared" si="17"/>
        <v>Potential customer</v>
      </c>
    </row>
    <row r="66" spans="1:15" s="4" customFormat="1" ht="19.95" customHeight="1" x14ac:dyDescent="0.25">
      <c r="A66" s="3">
        <v>66</v>
      </c>
      <c r="B66" s="3" t="s">
        <v>132</v>
      </c>
      <c r="C66" s="8" t="s">
        <v>391</v>
      </c>
      <c r="D66" s="3" t="s">
        <v>133</v>
      </c>
      <c r="E66" s="3" t="s">
        <v>134</v>
      </c>
      <c r="F66" s="6">
        <v>64.55</v>
      </c>
      <c r="G66" s="3" t="s">
        <v>135</v>
      </c>
      <c r="H66" s="4">
        <f t="shared" ref="H66:H102" si="18">RANK(F66,$F$2:$F$102,0)</f>
        <v>48</v>
      </c>
      <c r="I66" s="4">
        <f t="shared" ref="I66:I102" si="19">RANK(F66,$F$2:$F$102,1)</f>
        <v>47</v>
      </c>
      <c r="J66" s="5" t="str">
        <f t="shared" ref="J66:J102" si="20">IF(F66&gt;$S$3,"greater than avg","less than avg")</f>
        <v>greater than avg</v>
      </c>
      <c r="K66" s="6" t="str">
        <f t="shared" ref="K66:K102" si="21">LEFT(G66,5)</f>
        <v>04516</v>
      </c>
      <c r="L66" s="4" t="str">
        <f t="shared" ref="L66:L102" si="22">RIGHT(G66,4)</f>
        <v>oint</v>
      </c>
      <c r="M66" s="4" t="str">
        <f t="shared" ref="M66:M102" si="23">MID(G66,5,4)</f>
        <v>6 Ho</v>
      </c>
      <c r="N66" s="4" t="str">
        <f t="shared" ref="N66:N102" si="24">IF(AND(F66&gt;50,F66&lt;70),"picked","not picked")</f>
        <v>picked</v>
      </c>
      <c r="O66" s="4" t="str">
        <f t="shared" ref="O66:O102" si="25">IF(LEFT(C66,1) ="F","Potential customer","Not potential")</f>
        <v>Not potential</v>
      </c>
    </row>
    <row r="67" spans="1:15" s="4" customFormat="1" ht="19.95" customHeight="1" x14ac:dyDescent="0.25">
      <c r="A67" s="3">
        <v>67</v>
      </c>
      <c r="B67" s="3" t="s">
        <v>313</v>
      </c>
      <c r="C67" s="8" t="s">
        <v>385</v>
      </c>
      <c r="D67" s="3" t="s">
        <v>307</v>
      </c>
      <c r="E67" s="3" t="s">
        <v>314</v>
      </c>
      <c r="F67" s="6">
        <v>89.12</v>
      </c>
      <c r="G67" s="3" t="s">
        <v>315</v>
      </c>
      <c r="H67" s="4">
        <f t="shared" si="18"/>
        <v>19</v>
      </c>
      <c r="I67" s="4">
        <f t="shared" si="19"/>
        <v>76</v>
      </c>
      <c r="J67" s="5" t="str">
        <f t="shared" si="20"/>
        <v>greater than avg</v>
      </c>
      <c r="K67" s="6" t="str">
        <f t="shared" si="21"/>
        <v xml:space="preserve">0462 </v>
      </c>
      <c r="L67" s="4" t="str">
        <f t="shared" si="22"/>
        <v>Road</v>
      </c>
      <c r="M67" s="4" t="str">
        <f t="shared" si="23"/>
        <v xml:space="preserve"> Esk</v>
      </c>
      <c r="N67" s="4" t="str">
        <f t="shared" si="24"/>
        <v>not picked</v>
      </c>
      <c r="O67" s="4" t="str">
        <f t="shared" si="25"/>
        <v>Not potential</v>
      </c>
    </row>
    <row r="68" spans="1:15" s="4" customFormat="1" ht="19.95" customHeight="1" x14ac:dyDescent="0.25">
      <c r="A68" s="3">
        <v>68</v>
      </c>
      <c r="B68" s="3" t="s">
        <v>40</v>
      </c>
      <c r="C68" s="8" t="s">
        <v>385</v>
      </c>
      <c r="D68" s="3" t="s">
        <v>41</v>
      </c>
      <c r="E68" s="3" t="s">
        <v>42</v>
      </c>
      <c r="F68" s="6">
        <v>1</v>
      </c>
      <c r="G68" s="3" t="s">
        <v>43</v>
      </c>
      <c r="H68" s="4">
        <f t="shared" si="18"/>
        <v>94</v>
      </c>
      <c r="I68" s="4">
        <f t="shared" si="19"/>
        <v>1</v>
      </c>
      <c r="J68" s="5" t="str">
        <f t="shared" si="20"/>
        <v>less than avg</v>
      </c>
      <c r="K68" s="6" t="str">
        <f t="shared" si="21"/>
        <v>66 Ru</v>
      </c>
      <c r="L68" s="4" t="str">
        <f t="shared" si="22"/>
        <v>rail</v>
      </c>
      <c r="M68" s="4" t="str">
        <f t="shared" si="23"/>
        <v>utle</v>
      </c>
      <c r="N68" s="4" t="str">
        <f t="shared" si="24"/>
        <v>not picked</v>
      </c>
      <c r="O68" s="4" t="str">
        <f t="shared" si="25"/>
        <v>Not potential</v>
      </c>
    </row>
    <row r="69" spans="1:15" s="4" customFormat="1" ht="19.95" customHeight="1" x14ac:dyDescent="0.25">
      <c r="A69" s="3">
        <v>69</v>
      </c>
      <c r="B69" s="3" t="s">
        <v>16</v>
      </c>
      <c r="C69" s="8" t="s">
        <v>385</v>
      </c>
      <c r="D69" s="3" t="s">
        <v>17</v>
      </c>
      <c r="E69" s="3" t="s">
        <v>18</v>
      </c>
      <c r="F69" s="6"/>
      <c r="G69" s="3" t="s">
        <v>19</v>
      </c>
      <c r="H69" s="4" t="e">
        <f t="shared" si="18"/>
        <v>#N/A</v>
      </c>
      <c r="I69" s="4" t="e">
        <f t="shared" si="19"/>
        <v>#N/A</v>
      </c>
      <c r="J69" s="5" t="str">
        <f t="shared" si="20"/>
        <v>less than avg</v>
      </c>
      <c r="K69" s="6" t="str">
        <f t="shared" si="21"/>
        <v>93944</v>
      </c>
      <c r="L69" s="4" t="str">
        <f t="shared" si="22"/>
        <v>race</v>
      </c>
      <c r="M69" s="4" t="str">
        <f t="shared" si="23"/>
        <v>4 Fa</v>
      </c>
      <c r="N69" s="4" t="str">
        <f t="shared" si="24"/>
        <v>not picked</v>
      </c>
      <c r="O69" s="4" t="str">
        <f t="shared" si="25"/>
        <v>Not potential</v>
      </c>
    </row>
    <row r="70" spans="1:15" s="4" customFormat="1" ht="19.95" customHeight="1" x14ac:dyDescent="0.25">
      <c r="A70" s="3">
        <v>70</v>
      </c>
      <c r="B70" s="3" t="s">
        <v>128</v>
      </c>
      <c r="C70" s="8" t="s">
        <v>384</v>
      </c>
      <c r="D70" s="3" t="s">
        <v>129</v>
      </c>
      <c r="E70" s="3" t="s">
        <v>130</v>
      </c>
      <c r="F70" s="6">
        <v>42.4</v>
      </c>
      <c r="G70" s="3" t="s">
        <v>131</v>
      </c>
      <c r="H70" s="4">
        <f t="shared" si="18"/>
        <v>65</v>
      </c>
      <c r="I70" s="4">
        <f t="shared" si="19"/>
        <v>30</v>
      </c>
      <c r="J70" s="5" t="str">
        <f t="shared" si="20"/>
        <v>less than avg</v>
      </c>
      <c r="K70" s="6" t="str">
        <f t="shared" si="21"/>
        <v>7 Pea</v>
      </c>
      <c r="L70" s="4" t="str">
        <f t="shared" si="22"/>
        <v>Pass</v>
      </c>
      <c r="M70" s="4" t="str">
        <f t="shared" si="23"/>
        <v>arso</v>
      </c>
      <c r="N70" s="4" t="str">
        <f t="shared" si="24"/>
        <v>not picked</v>
      </c>
      <c r="O70" s="4" t="str">
        <f t="shared" si="25"/>
        <v>Potential customer</v>
      </c>
    </row>
    <row r="71" spans="1:15" s="4" customFormat="1" ht="19.95" customHeight="1" x14ac:dyDescent="0.25">
      <c r="A71" s="3">
        <v>71</v>
      </c>
      <c r="B71" s="3" t="s">
        <v>7</v>
      </c>
      <c r="C71" s="8" t="s">
        <v>384</v>
      </c>
      <c r="D71" s="3" t="s">
        <v>8</v>
      </c>
      <c r="E71" s="3" t="s">
        <v>9</v>
      </c>
      <c r="F71" s="6">
        <v>78.94</v>
      </c>
      <c r="G71" s="3" t="s">
        <v>10</v>
      </c>
      <c r="H71" s="4">
        <f t="shared" si="18"/>
        <v>34</v>
      </c>
      <c r="I71" s="4">
        <f t="shared" si="19"/>
        <v>61</v>
      </c>
      <c r="J71" s="5" t="str">
        <f t="shared" si="20"/>
        <v>greater than avg</v>
      </c>
      <c r="K71" s="6" t="str">
        <f t="shared" si="21"/>
        <v>361 P</v>
      </c>
      <c r="L71" s="4" t="str">
        <f t="shared" si="22"/>
        <v>Hill</v>
      </c>
      <c r="M71" s="4" t="str">
        <f t="shared" si="23"/>
        <v>Penn</v>
      </c>
      <c r="N71" s="4" t="str">
        <f t="shared" si="24"/>
        <v>not picked</v>
      </c>
      <c r="O71" s="4" t="str">
        <f t="shared" si="25"/>
        <v>Potential customer</v>
      </c>
    </row>
    <row r="72" spans="1:15" s="4" customFormat="1" ht="19.95" customHeight="1" x14ac:dyDescent="0.25">
      <c r="A72" s="3">
        <v>72</v>
      </c>
      <c r="B72" s="3" t="s">
        <v>64</v>
      </c>
      <c r="C72" s="8" t="s">
        <v>391</v>
      </c>
      <c r="D72" s="3" t="s">
        <v>55</v>
      </c>
      <c r="E72" s="3" t="s">
        <v>65</v>
      </c>
      <c r="F72" s="6">
        <v>86.92</v>
      </c>
      <c r="G72" s="3" t="s">
        <v>66</v>
      </c>
      <c r="H72" s="4">
        <f t="shared" si="18"/>
        <v>23</v>
      </c>
      <c r="I72" s="4">
        <f t="shared" si="19"/>
        <v>72</v>
      </c>
      <c r="J72" s="5" t="str">
        <f t="shared" si="20"/>
        <v>greater than avg</v>
      </c>
      <c r="K72" s="6" t="str">
        <f t="shared" si="21"/>
        <v>93153</v>
      </c>
      <c r="L72" s="4" t="str">
        <f t="shared" si="22"/>
        <v>lace</v>
      </c>
      <c r="M72" s="4" t="str">
        <f t="shared" si="23"/>
        <v>3 Gr</v>
      </c>
      <c r="N72" s="4" t="str">
        <f t="shared" si="24"/>
        <v>not picked</v>
      </c>
      <c r="O72" s="4" t="str">
        <f t="shared" si="25"/>
        <v>Not potential</v>
      </c>
    </row>
    <row r="73" spans="1:15" s="4" customFormat="1" ht="19.95" customHeight="1" x14ac:dyDescent="0.25">
      <c r="A73" s="3">
        <v>73</v>
      </c>
      <c r="B73" s="3" t="s">
        <v>208</v>
      </c>
      <c r="C73" s="8" t="s">
        <v>384</v>
      </c>
      <c r="D73" s="3" t="s">
        <v>209</v>
      </c>
      <c r="E73" s="3" t="s">
        <v>210</v>
      </c>
      <c r="F73" s="6">
        <v>95.9</v>
      </c>
      <c r="G73" s="3" t="s">
        <v>211</v>
      </c>
      <c r="H73" s="4">
        <f t="shared" si="18"/>
        <v>9</v>
      </c>
      <c r="I73" s="4">
        <f t="shared" si="19"/>
        <v>86</v>
      </c>
      <c r="J73" s="5" t="str">
        <f t="shared" si="20"/>
        <v>greater than avg</v>
      </c>
      <c r="K73" s="6" t="str">
        <f t="shared" si="21"/>
        <v>2 Cas</v>
      </c>
      <c r="L73" s="4" t="str">
        <f t="shared" si="22"/>
        <v>rive</v>
      </c>
      <c r="M73" s="4" t="str">
        <f t="shared" si="23"/>
        <v>scad</v>
      </c>
      <c r="N73" s="4" t="str">
        <f t="shared" si="24"/>
        <v>not picked</v>
      </c>
      <c r="O73" s="4" t="str">
        <f t="shared" si="25"/>
        <v>Potential customer</v>
      </c>
    </row>
    <row r="74" spans="1:15" s="4" customFormat="1" ht="19.95" customHeight="1" x14ac:dyDescent="0.25">
      <c r="A74" s="3">
        <v>74</v>
      </c>
      <c r="B74" s="3" t="s">
        <v>105</v>
      </c>
      <c r="C74" s="8" t="s">
        <v>391</v>
      </c>
      <c r="D74" s="3" t="s">
        <v>106</v>
      </c>
      <c r="E74" s="3" t="s">
        <v>107</v>
      </c>
      <c r="F74" s="6">
        <v>88.13</v>
      </c>
      <c r="G74" s="3" t="s">
        <v>108</v>
      </c>
      <c r="H74" s="4">
        <f t="shared" si="18"/>
        <v>22</v>
      </c>
      <c r="I74" s="4">
        <f t="shared" si="19"/>
        <v>73</v>
      </c>
      <c r="J74" s="5" t="str">
        <f t="shared" si="20"/>
        <v>greater than avg</v>
      </c>
      <c r="K74" s="6" t="str">
        <f t="shared" si="21"/>
        <v>68930</v>
      </c>
      <c r="L74" s="4" t="str">
        <f t="shared" si="22"/>
        <v>Pass</v>
      </c>
      <c r="M74" s="4" t="str">
        <f t="shared" si="23"/>
        <v>0 Ho</v>
      </c>
      <c r="N74" s="4" t="str">
        <f t="shared" si="24"/>
        <v>not picked</v>
      </c>
      <c r="O74" s="4" t="str">
        <f t="shared" si="25"/>
        <v>Not potential</v>
      </c>
    </row>
    <row r="75" spans="1:15" s="4" customFormat="1" ht="19.95" customHeight="1" x14ac:dyDescent="0.25">
      <c r="A75" s="3">
        <v>75</v>
      </c>
      <c r="B75" s="3" t="s">
        <v>295</v>
      </c>
      <c r="C75" s="8" t="s">
        <v>385</v>
      </c>
      <c r="D75" s="3" t="s">
        <v>296</v>
      </c>
      <c r="E75" s="3" t="s">
        <v>297</v>
      </c>
      <c r="F75" s="6">
        <v>4.96</v>
      </c>
      <c r="G75" s="3" t="s">
        <v>298</v>
      </c>
      <c r="H75" s="4">
        <f t="shared" si="18"/>
        <v>92</v>
      </c>
      <c r="I75" s="4">
        <f t="shared" si="19"/>
        <v>3</v>
      </c>
      <c r="J75" s="5" t="str">
        <f t="shared" si="20"/>
        <v>less than avg</v>
      </c>
      <c r="K75" s="6" t="str">
        <f t="shared" si="21"/>
        <v>16071</v>
      </c>
      <c r="L75" s="4" t="str">
        <f t="shared" si="22"/>
        <v>Pass</v>
      </c>
      <c r="M75" s="4" t="str">
        <f t="shared" si="23"/>
        <v>1 No</v>
      </c>
      <c r="N75" s="4" t="str">
        <f t="shared" si="24"/>
        <v>not picked</v>
      </c>
      <c r="O75" s="4" t="str">
        <f t="shared" si="25"/>
        <v>Not potential</v>
      </c>
    </row>
    <row r="76" spans="1:15" s="4" customFormat="1" ht="19.95" customHeight="1" x14ac:dyDescent="0.25">
      <c r="A76" s="3">
        <v>76</v>
      </c>
      <c r="B76" s="3" t="s">
        <v>360</v>
      </c>
      <c r="C76" s="8" t="s">
        <v>384</v>
      </c>
      <c r="D76" s="3" t="s">
        <v>361</v>
      </c>
      <c r="E76" s="3" t="s">
        <v>362</v>
      </c>
      <c r="F76" s="6">
        <v>14.55</v>
      </c>
      <c r="G76" s="3" t="s">
        <v>363</v>
      </c>
      <c r="H76" s="4">
        <f t="shared" si="18"/>
        <v>81</v>
      </c>
      <c r="I76" s="4">
        <f t="shared" si="19"/>
        <v>14</v>
      </c>
      <c r="J76" s="5" t="str">
        <f t="shared" si="20"/>
        <v>less than avg</v>
      </c>
      <c r="K76" s="6" t="str">
        <f t="shared" si="21"/>
        <v xml:space="preserve">1364 </v>
      </c>
      <c r="L76" s="4" t="str">
        <f t="shared" si="22"/>
        <v>ourt</v>
      </c>
      <c r="M76" s="4" t="str">
        <f t="shared" si="23"/>
        <v xml:space="preserve"> Gra</v>
      </c>
      <c r="N76" s="4" t="str">
        <f t="shared" si="24"/>
        <v>not picked</v>
      </c>
      <c r="O76" s="4" t="str">
        <f t="shared" si="25"/>
        <v>Potential customer</v>
      </c>
    </row>
    <row r="77" spans="1:15" s="4" customFormat="1" ht="19.95" customHeight="1" x14ac:dyDescent="0.25">
      <c r="A77" s="3">
        <v>77</v>
      </c>
      <c r="B77" s="3" t="s">
        <v>21</v>
      </c>
      <c r="C77" s="8" t="s">
        <v>385</v>
      </c>
      <c r="D77" s="3" t="s">
        <v>22</v>
      </c>
      <c r="E77" s="3"/>
      <c r="F77" s="6">
        <v>96.7</v>
      </c>
      <c r="G77" s="3" t="s">
        <v>23</v>
      </c>
      <c r="H77" s="4">
        <f t="shared" si="18"/>
        <v>8</v>
      </c>
      <c r="I77" s="4">
        <f t="shared" si="19"/>
        <v>87</v>
      </c>
      <c r="J77" s="5" t="str">
        <f t="shared" si="20"/>
        <v>greater than avg</v>
      </c>
      <c r="K77" s="6" t="str">
        <f t="shared" si="21"/>
        <v>326 H</v>
      </c>
      <c r="L77" s="4" t="str">
        <f t="shared" si="22"/>
        <v>tion</v>
      </c>
      <c r="M77" s="4" t="str">
        <f t="shared" si="23"/>
        <v>Hele</v>
      </c>
      <c r="N77" s="4" t="str">
        <f t="shared" si="24"/>
        <v>not picked</v>
      </c>
      <c r="O77" s="4" t="str">
        <f t="shared" si="25"/>
        <v>Not potential</v>
      </c>
    </row>
    <row r="78" spans="1:15" s="4" customFormat="1" ht="19.95" customHeight="1" x14ac:dyDescent="0.25">
      <c r="A78" s="3">
        <v>78</v>
      </c>
      <c r="B78" s="3" t="s">
        <v>270</v>
      </c>
      <c r="C78" s="8" t="s">
        <v>384</v>
      </c>
      <c r="D78" s="3" t="s">
        <v>271</v>
      </c>
      <c r="E78" s="3"/>
      <c r="F78" s="6"/>
      <c r="G78" s="3" t="s">
        <v>272</v>
      </c>
      <c r="H78" s="4" t="e">
        <f t="shared" si="18"/>
        <v>#N/A</v>
      </c>
      <c r="I78" s="4" t="e">
        <f t="shared" si="19"/>
        <v>#N/A</v>
      </c>
      <c r="J78" s="5" t="str">
        <f t="shared" si="20"/>
        <v>less than avg</v>
      </c>
      <c r="K78" s="6" t="str">
        <f t="shared" si="21"/>
        <v>58328</v>
      </c>
      <c r="L78" s="4" t="str">
        <f t="shared" si="22"/>
        <v>kway</v>
      </c>
      <c r="M78" s="4" t="str">
        <f t="shared" si="23"/>
        <v>8 Ex</v>
      </c>
      <c r="N78" s="4" t="str">
        <f t="shared" si="24"/>
        <v>not picked</v>
      </c>
      <c r="O78" s="4" t="str">
        <f t="shared" si="25"/>
        <v>Potential customer</v>
      </c>
    </row>
    <row r="79" spans="1:15" s="4" customFormat="1" ht="19.95" customHeight="1" x14ac:dyDescent="0.25">
      <c r="A79" s="3">
        <v>79</v>
      </c>
      <c r="B79" s="3" t="s">
        <v>368</v>
      </c>
      <c r="C79" s="8" t="s">
        <v>391</v>
      </c>
      <c r="D79" s="3" t="s">
        <v>369</v>
      </c>
      <c r="E79" s="3" t="s">
        <v>370</v>
      </c>
      <c r="F79" s="6">
        <v>63.12</v>
      </c>
      <c r="G79" s="3" t="s">
        <v>371</v>
      </c>
      <c r="H79" s="4">
        <f t="shared" si="18"/>
        <v>50</v>
      </c>
      <c r="I79" s="4">
        <f t="shared" si="19"/>
        <v>45</v>
      </c>
      <c r="J79" s="5" t="str">
        <f t="shared" si="20"/>
        <v>greater than avg</v>
      </c>
      <c r="K79" s="6" t="str">
        <f t="shared" si="21"/>
        <v>7 Jen</v>
      </c>
      <c r="L79" s="4" t="str">
        <f t="shared" si="22"/>
        <v>kway</v>
      </c>
      <c r="M79" s="4" t="str">
        <f t="shared" si="23"/>
        <v>nife</v>
      </c>
      <c r="N79" s="4" t="str">
        <f t="shared" si="24"/>
        <v>picked</v>
      </c>
      <c r="O79" s="4" t="str">
        <f t="shared" si="25"/>
        <v>Not potential</v>
      </c>
    </row>
    <row r="80" spans="1:15" s="4" customFormat="1" ht="19.95" customHeight="1" x14ac:dyDescent="0.25">
      <c r="A80" s="3">
        <v>80</v>
      </c>
      <c r="B80" s="3" t="s">
        <v>357</v>
      </c>
      <c r="C80" s="8" t="s">
        <v>384</v>
      </c>
      <c r="D80" s="3" t="s">
        <v>354</v>
      </c>
      <c r="E80" s="3" t="s">
        <v>358</v>
      </c>
      <c r="F80" s="6">
        <v>20.87</v>
      </c>
      <c r="G80" s="3" t="s">
        <v>359</v>
      </c>
      <c r="H80" s="4">
        <f t="shared" si="18"/>
        <v>76</v>
      </c>
      <c r="I80" s="4">
        <f t="shared" si="19"/>
        <v>19</v>
      </c>
      <c r="J80" s="5" t="str">
        <f t="shared" si="20"/>
        <v>less than avg</v>
      </c>
      <c r="K80" s="6" t="str">
        <f t="shared" si="21"/>
        <v>98120</v>
      </c>
      <c r="L80" s="4" t="str">
        <f t="shared" si="22"/>
        <v>race</v>
      </c>
      <c r="M80" s="4" t="str">
        <f t="shared" si="23"/>
        <v>0 Ea</v>
      </c>
      <c r="N80" s="4" t="str">
        <f t="shared" si="24"/>
        <v>not picked</v>
      </c>
      <c r="O80" s="4" t="str">
        <f t="shared" si="25"/>
        <v>Potential customer</v>
      </c>
    </row>
    <row r="81" spans="1:15" s="4" customFormat="1" ht="19.95" customHeight="1" x14ac:dyDescent="0.25">
      <c r="A81" s="3">
        <v>81</v>
      </c>
      <c r="B81" s="3" t="s">
        <v>120</v>
      </c>
      <c r="C81" s="8" t="s">
        <v>385</v>
      </c>
      <c r="D81" s="3" t="s">
        <v>121</v>
      </c>
      <c r="E81" s="3" t="s">
        <v>122</v>
      </c>
      <c r="F81" s="6">
        <v>27.68</v>
      </c>
      <c r="G81" s="3" t="s">
        <v>123</v>
      </c>
      <c r="H81" s="4">
        <f t="shared" si="18"/>
        <v>70</v>
      </c>
      <c r="I81" s="4">
        <f t="shared" si="19"/>
        <v>25</v>
      </c>
      <c r="J81" s="5" t="str">
        <f t="shared" si="20"/>
        <v>less than avg</v>
      </c>
      <c r="K81" s="6" t="str">
        <f t="shared" si="21"/>
        <v>891 B</v>
      </c>
      <c r="L81" s="4" t="str">
        <f t="shared" si="22"/>
        <v>enue</v>
      </c>
      <c r="M81" s="4" t="str">
        <f t="shared" si="23"/>
        <v>Bell</v>
      </c>
      <c r="N81" s="4" t="str">
        <f t="shared" si="24"/>
        <v>not picked</v>
      </c>
      <c r="O81" s="4" t="str">
        <f t="shared" si="25"/>
        <v>Not potential</v>
      </c>
    </row>
    <row r="82" spans="1:15" s="4" customFormat="1" ht="19.95" customHeight="1" x14ac:dyDescent="0.25">
      <c r="A82" s="3">
        <v>82</v>
      </c>
      <c r="B82" s="3" t="s">
        <v>159</v>
      </c>
      <c r="C82" s="8" t="s">
        <v>385</v>
      </c>
      <c r="D82" s="3" t="s">
        <v>157</v>
      </c>
      <c r="E82" s="3" t="s">
        <v>160</v>
      </c>
      <c r="F82" s="6">
        <v>70.209999999999994</v>
      </c>
      <c r="G82" s="3" t="s">
        <v>161</v>
      </c>
      <c r="H82" s="4">
        <f t="shared" si="18"/>
        <v>44</v>
      </c>
      <c r="I82" s="4">
        <f t="shared" si="19"/>
        <v>51</v>
      </c>
      <c r="J82" s="5" t="str">
        <f t="shared" si="20"/>
        <v>greater than avg</v>
      </c>
      <c r="K82" s="6" t="str">
        <f t="shared" si="21"/>
        <v>3 Chi</v>
      </c>
      <c r="L82" s="4" t="str">
        <f t="shared" si="22"/>
        <v>Lane</v>
      </c>
      <c r="M82" s="4" t="str">
        <f t="shared" si="23"/>
        <v>inoo</v>
      </c>
      <c r="N82" s="4" t="str">
        <f t="shared" si="24"/>
        <v>not picked</v>
      </c>
      <c r="O82" s="4" t="str">
        <f t="shared" si="25"/>
        <v>Not potential</v>
      </c>
    </row>
    <row r="83" spans="1:15" s="4" customFormat="1" ht="19.95" customHeight="1" x14ac:dyDescent="0.25">
      <c r="A83" s="3">
        <v>83</v>
      </c>
      <c r="B83" s="3" t="s">
        <v>341</v>
      </c>
      <c r="C83" s="8" t="s">
        <v>384</v>
      </c>
      <c r="D83" s="3" t="s">
        <v>342</v>
      </c>
      <c r="E83" s="3" t="s">
        <v>343</v>
      </c>
      <c r="F83" s="6">
        <v>97.89</v>
      </c>
      <c r="G83" s="3" t="s">
        <v>344</v>
      </c>
      <c r="H83" s="4">
        <f t="shared" si="18"/>
        <v>4</v>
      </c>
      <c r="I83" s="4">
        <f t="shared" si="19"/>
        <v>91</v>
      </c>
      <c r="J83" s="5" t="str">
        <f t="shared" si="20"/>
        <v>greater than avg</v>
      </c>
      <c r="K83" s="6" t="str">
        <f t="shared" si="21"/>
        <v xml:space="preserve">3547 </v>
      </c>
      <c r="L83" s="4" t="str">
        <f t="shared" si="22"/>
        <v>lace</v>
      </c>
      <c r="M83" s="4" t="str">
        <f t="shared" si="23"/>
        <v xml:space="preserve"> Por</v>
      </c>
      <c r="N83" s="4" t="str">
        <f t="shared" si="24"/>
        <v>not picked</v>
      </c>
      <c r="O83" s="4" t="str">
        <f t="shared" si="25"/>
        <v>Potential customer</v>
      </c>
    </row>
    <row r="84" spans="1:15" s="4" customFormat="1" ht="19.95" customHeight="1" x14ac:dyDescent="0.25">
      <c r="A84" s="3">
        <v>84</v>
      </c>
      <c r="B84" s="3" t="s">
        <v>29</v>
      </c>
      <c r="C84" s="8" t="s">
        <v>391</v>
      </c>
      <c r="D84" s="3" t="s">
        <v>30</v>
      </c>
      <c r="E84" s="3" t="s">
        <v>31</v>
      </c>
      <c r="F84" s="6">
        <v>80.7</v>
      </c>
      <c r="G84" s="3" t="s">
        <v>32</v>
      </c>
      <c r="H84" s="4">
        <f t="shared" si="18"/>
        <v>32</v>
      </c>
      <c r="I84" s="4">
        <f t="shared" si="19"/>
        <v>63</v>
      </c>
      <c r="J84" s="5" t="str">
        <f t="shared" si="20"/>
        <v>greater than avg</v>
      </c>
      <c r="K84" s="6" t="str">
        <f t="shared" si="21"/>
        <v>8 Dex</v>
      </c>
      <c r="L84" s="4" t="str">
        <f t="shared" si="22"/>
        <v xml:space="preserve"> Way</v>
      </c>
      <c r="M84" s="4" t="str">
        <f t="shared" si="23"/>
        <v>xter</v>
      </c>
      <c r="N84" s="4" t="str">
        <f t="shared" si="24"/>
        <v>not picked</v>
      </c>
      <c r="O84" s="4" t="str">
        <f t="shared" si="25"/>
        <v>Not potential</v>
      </c>
    </row>
    <row r="85" spans="1:15" s="4" customFormat="1" ht="19.95" customHeight="1" x14ac:dyDescent="0.25">
      <c r="A85" s="3">
        <v>85</v>
      </c>
      <c r="B85" s="3" t="s">
        <v>54</v>
      </c>
      <c r="C85" s="8" t="s">
        <v>384</v>
      </c>
      <c r="D85" s="3" t="s">
        <v>55</v>
      </c>
      <c r="E85" s="3" t="s">
        <v>56</v>
      </c>
      <c r="F85" s="6">
        <v>50.91</v>
      </c>
      <c r="G85" s="3" t="s">
        <v>57</v>
      </c>
      <c r="H85" s="4">
        <f t="shared" si="18"/>
        <v>58</v>
      </c>
      <c r="I85" s="4">
        <f t="shared" si="19"/>
        <v>37</v>
      </c>
      <c r="J85" s="5" t="str">
        <f t="shared" si="20"/>
        <v>less than avg</v>
      </c>
      <c r="K85" s="6" t="str">
        <f t="shared" si="21"/>
        <v>471 W</v>
      </c>
      <c r="L85" s="4" t="str">
        <f t="shared" si="22"/>
        <v>laza</v>
      </c>
      <c r="M85" s="4" t="str">
        <f t="shared" si="23"/>
        <v>Waxw</v>
      </c>
      <c r="N85" s="4" t="str">
        <f t="shared" si="24"/>
        <v>picked</v>
      </c>
      <c r="O85" s="4" t="str">
        <f t="shared" si="25"/>
        <v>Potential customer</v>
      </c>
    </row>
    <row r="86" spans="1:15" s="4" customFormat="1" ht="19.95" customHeight="1" x14ac:dyDescent="0.25">
      <c r="A86" s="3">
        <v>86</v>
      </c>
      <c r="B86" s="3" t="s">
        <v>47</v>
      </c>
      <c r="C86" s="8" t="s">
        <v>385</v>
      </c>
      <c r="D86" s="3" t="s">
        <v>48</v>
      </c>
      <c r="E86" s="3"/>
      <c r="F86" s="6">
        <v>94.9</v>
      </c>
      <c r="G86" s="3" t="s">
        <v>49</v>
      </c>
      <c r="H86" s="4">
        <f t="shared" si="18"/>
        <v>11</v>
      </c>
      <c r="I86" s="4">
        <f t="shared" si="19"/>
        <v>84</v>
      </c>
      <c r="J86" s="5" t="str">
        <f t="shared" si="20"/>
        <v>greater than avg</v>
      </c>
      <c r="K86" s="6" t="str">
        <f t="shared" si="21"/>
        <v>86 Cl</v>
      </c>
      <c r="L86" s="4" t="str">
        <f t="shared" si="22"/>
        <v>tion</v>
      </c>
      <c r="M86" s="4" t="str">
        <f t="shared" si="23"/>
        <v>lemo</v>
      </c>
      <c r="N86" s="4" t="str">
        <f t="shared" si="24"/>
        <v>not picked</v>
      </c>
      <c r="O86" s="4" t="str">
        <f t="shared" si="25"/>
        <v>Not potential</v>
      </c>
    </row>
    <row r="87" spans="1:15" s="4" customFormat="1" ht="19.95" customHeight="1" x14ac:dyDescent="0.25">
      <c r="A87" s="3">
        <v>87</v>
      </c>
      <c r="B87" s="3" t="s">
        <v>87</v>
      </c>
      <c r="C87" s="8" t="s">
        <v>384</v>
      </c>
      <c r="D87" s="3" t="s">
        <v>84</v>
      </c>
      <c r="E87" s="3" t="s">
        <v>88</v>
      </c>
      <c r="F87" s="6">
        <v>69.510000000000005</v>
      </c>
      <c r="G87" s="3" t="s">
        <v>89</v>
      </c>
      <c r="H87" s="4">
        <f t="shared" si="18"/>
        <v>45</v>
      </c>
      <c r="I87" s="4">
        <f t="shared" si="19"/>
        <v>50</v>
      </c>
      <c r="J87" s="5" t="str">
        <f t="shared" si="20"/>
        <v>greater than avg</v>
      </c>
      <c r="K87" s="6" t="str">
        <f t="shared" si="21"/>
        <v>2 Wes</v>
      </c>
      <c r="L87" s="4" t="str">
        <f t="shared" si="22"/>
        <v>lley</v>
      </c>
      <c r="M87" s="4" t="str">
        <f t="shared" si="23"/>
        <v>stri</v>
      </c>
      <c r="N87" s="4" t="str">
        <f t="shared" si="24"/>
        <v>picked</v>
      </c>
      <c r="O87" s="4" t="str">
        <f t="shared" si="25"/>
        <v>Potential customer</v>
      </c>
    </row>
    <row r="88" spans="1:15" s="4" customFormat="1" ht="19.95" customHeight="1" x14ac:dyDescent="0.25">
      <c r="A88" s="3">
        <v>88</v>
      </c>
      <c r="B88" s="3" t="s">
        <v>266</v>
      </c>
      <c r="C88" s="8" t="s">
        <v>385</v>
      </c>
      <c r="D88" s="3" t="s">
        <v>267</v>
      </c>
      <c r="E88" s="3" t="s">
        <v>268</v>
      </c>
      <c r="F88" s="6">
        <v>8.1300000000000008</v>
      </c>
      <c r="G88" s="3" t="s">
        <v>269</v>
      </c>
      <c r="H88" s="4">
        <f t="shared" si="18"/>
        <v>86</v>
      </c>
      <c r="I88" s="4">
        <f t="shared" si="19"/>
        <v>9</v>
      </c>
      <c r="J88" s="5" t="str">
        <f t="shared" si="20"/>
        <v>less than avg</v>
      </c>
      <c r="K88" s="6" t="str">
        <f t="shared" si="21"/>
        <v>842 M</v>
      </c>
      <c r="L88" s="4" t="str">
        <f t="shared" si="22"/>
        <v>enue</v>
      </c>
      <c r="M88" s="4" t="str">
        <f t="shared" si="23"/>
        <v>Marc</v>
      </c>
      <c r="N88" s="4" t="str">
        <f t="shared" si="24"/>
        <v>not picked</v>
      </c>
      <c r="O88" s="4" t="str">
        <f t="shared" si="25"/>
        <v>Not potential</v>
      </c>
    </row>
    <row r="89" spans="1:15" s="4" customFormat="1" ht="19.95" customHeight="1" x14ac:dyDescent="0.25">
      <c r="A89" s="3">
        <v>89</v>
      </c>
      <c r="B89" s="3" t="s">
        <v>150</v>
      </c>
      <c r="C89" s="8" t="s">
        <v>385</v>
      </c>
      <c r="D89" s="3" t="s">
        <v>151</v>
      </c>
      <c r="E89" s="3" t="s">
        <v>152</v>
      </c>
      <c r="F89" s="6">
        <v>80.760000000000005</v>
      </c>
      <c r="G89" s="3" t="s">
        <v>153</v>
      </c>
      <c r="H89" s="4">
        <f t="shared" si="18"/>
        <v>31</v>
      </c>
      <c r="I89" s="4">
        <f t="shared" si="19"/>
        <v>64</v>
      </c>
      <c r="J89" s="5" t="str">
        <f t="shared" si="20"/>
        <v>greater than avg</v>
      </c>
      <c r="K89" s="6" t="str">
        <f t="shared" si="21"/>
        <v>0 For</v>
      </c>
      <c r="L89" s="4" t="str">
        <f t="shared" si="22"/>
        <v>enue</v>
      </c>
      <c r="M89" s="4" t="str">
        <f t="shared" si="23"/>
        <v>rste</v>
      </c>
      <c r="N89" s="4" t="str">
        <f t="shared" si="24"/>
        <v>not picked</v>
      </c>
      <c r="O89" s="4" t="str">
        <f t="shared" si="25"/>
        <v>Not potential</v>
      </c>
    </row>
    <row r="90" spans="1:15" s="4" customFormat="1" ht="19.95" customHeight="1" x14ac:dyDescent="0.25">
      <c r="A90" s="3">
        <v>90</v>
      </c>
      <c r="B90" s="3" t="s">
        <v>83</v>
      </c>
      <c r="C90" s="8" t="s">
        <v>385</v>
      </c>
      <c r="D90" s="3" t="s">
        <v>84</v>
      </c>
      <c r="E90" s="3" t="s">
        <v>85</v>
      </c>
      <c r="F90" s="6">
        <v>46.32</v>
      </c>
      <c r="G90" s="3" t="s">
        <v>86</v>
      </c>
      <c r="H90" s="4">
        <f t="shared" si="18"/>
        <v>62</v>
      </c>
      <c r="I90" s="4">
        <f t="shared" si="19"/>
        <v>33</v>
      </c>
      <c r="J90" s="5" t="str">
        <f t="shared" si="20"/>
        <v>less than avg</v>
      </c>
      <c r="K90" s="6" t="str">
        <f t="shared" si="21"/>
        <v>941 C</v>
      </c>
      <c r="L90" s="4" t="str">
        <f t="shared" si="22"/>
        <v>sing</v>
      </c>
      <c r="M90" s="4" t="str">
        <f t="shared" si="23"/>
        <v>Cool</v>
      </c>
      <c r="N90" s="4" t="str">
        <f t="shared" si="24"/>
        <v>not picked</v>
      </c>
      <c r="O90" s="4" t="str">
        <f t="shared" si="25"/>
        <v>Not potential</v>
      </c>
    </row>
    <row r="91" spans="1:15" s="4" customFormat="1" ht="19.95" customHeight="1" x14ac:dyDescent="0.25">
      <c r="A91" s="3">
        <v>91</v>
      </c>
      <c r="B91" s="3" t="s">
        <v>140</v>
      </c>
      <c r="C91" s="8" t="s">
        <v>384</v>
      </c>
      <c r="D91" s="3" t="s">
        <v>141</v>
      </c>
      <c r="E91" s="3" t="s">
        <v>142</v>
      </c>
      <c r="F91" s="6">
        <v>19.809999999999999</v>
      </c>
      <c r="G91" s="3" t="s">
        <v>143</v>
      </c>
      <c r="H91" s="4">
        <f t="shared" si="18"/>
        <v>77</v>
      </c>
      <c r="I91" s="4">
        <f t="shared" si="19"/>
        <v>18</v>
      </c>
      <c r="J91" s="5" t="str">
        <f t="shared" si="20"/>
        <v>less than avg</v>
      </c>
      <c r="K91" s="6" t="str">
        <f t="shared" si="21"/>
        <v>427 C</v>
      </c>
      <c r="L91" s="4" t="str">
        <f t="shared" si="22"/>
        <v>lace</v>
      </c>
      <c r="M91" s="4" t="str">
        <f t="shared" si="23"/>
        <v>Cher</v>
      </c>
      <c r="N91" s="4" t="str">
        <f t="shared" si="24"/>
        <v>not picked</v>
      </c>
      <c r="O91" s="4" t="str">
        <f t="shared" si="25"/>
        <v>Potential customer</v>
      </c>
    </row>
    <row r="92" spans="1:15" s="4" customFormat="1" ht="19.95" customHeight="1" x14ac:dyDescent="0.25">
      <c r="A92" s="3">
        <v>92</v>
      </c>
      <c r="B92" s="3" t="s">
        <v>303</v>
      </c>
      <c r="C92" s="8" t="s">
        <v>391</v>
      </c>
      <c r="D92" s="3" t="s">
        <v>304</v>
      </c>
      <c r="E92" s="3"/>
      <c r="F92" s="6">
        <v>66.38</v>
      </c>
      <c r="G92" s="3" t="s">
        <v>305</v>
      </c>
      <c r="H92" s="4">
        <f t="shared" si="18"/>
        <v>46</v>
      </c>
      <c r="I92" s="4">
        <f t="shared" si="19"/>
        <v>49</v>
      </c>
      <c r="J92" s="5" t="str">
        <f t="shared" si="20"/>
        <v>greater than avg</v>
      </c>
      <c r="K92" s="6" t="str">
        <f t="shared" si="21"/>
        <v>076 H</v>
      </c>
      <c r="L92" s="4" t="str">
        <f t="shared" si="22"/>
        <v>lace</v>
      </c>
      <c r="M92" s="4" t="str">
        <f t="shared" si="23"/>
        <v>Heat</v>
      </c>
      <c r="N92" s="4" t="str">
        <f t="shared" si="24"/>
        <v>picked</v>
      </c>
      <c r="O92" s="4" t="str">
        <f t="shared" si="25"/>
        <v>Not potential</v>
      </c>
    </row>
    <row r="93" spans="1:15" s="4" customFormat="1" ht="19.95" customHeight="1" x14ac:dyDescent="0.25">
      <c r="A93" s="3">
        <v>93</v>
      </c>
      <c r="B93" s="3" t="s">
        <v>215</v>
      </c>
      <c r="C93" s="8" t="s">
        <v>385</v>
      </c>
      <c r="D93" s="3" t="s">
        <v>216</v>
      </c>
      <c r="E93" s="3"/>
      <c r="F93" s="6">
        <v>94.18</v>
      </c>
      <c r="G93" s="3" t="s">
        <v>217</v>
      </c>
      <c r="H93" s="4">
        <f t="shared" si="18"/>
        <v>12</v>
      </c>
      <c r="I93" s="4">
        <f t="shared" si="19"/>
        <v>83</v>
      </c>
      <c r="J93" s="5" t="str">
        <f t="shared" si="20"/>
        <v>greater than avg</v>
      </c>
      <c r="K93" s="6" t="str">
        <f t="shared" si="21"/>
        <v>38116</v>
      </c>
      <c r="L93" s="4" t="str">
        <f t="shared" si="22"/>
        <v>lace</v>
      </c>
      <c r="M93" s="4" t="str">
        <f t="shared" si="23"/>
        <v>6 De</v>
      </c>
      <c r="N93" s="4" t="str">
        <f t="shared" si="24"/>
        <v>not picked</v>
      </c>
      <c r="O93" s="4" t="str">
        <f t="shared" si="25"/>
        <v>Not potential</v>
      </c>
    </row>
    <row r="94" spans="1:15" s="4" customFormat="1" ht="19.95" customHeight="1" x14ac:dyDescent="0.25">
      <c r="A94" s="3">
        <v>94</v>
      </c>
      <c r="B94" s="3" t="s">
        <v>178</v>
      </c>
      <c r="C94" s="8" t="s">
        <v>391</v>
      </c>
      <c r="D94" s="3" t="s">
        <v>179</v>
      </c>
      <c r="E94" s="3" t="s">
        <v>180</v>
      </c>
      <c r="F94" s="6">
        <v>83.25</v>
      </c>
      <c r="G94" s="3" t="s">
        <v>181</v>
      </c>
      <c r="H94" s="4">
        <f t="shared" si="18"/>
        <v>27</v>
      </c>
      <c r="I94" s="4">
        <f t="shared" si="19"/>
        <v>68</v>
      </c>
      <c r="J94" s="5" t="str">
        <f t="shared" si="20"/>
        <v>greater than avg</v>
      </c>
      <c r="K94" s="6" t="str">
        <f t="shared" si="21"/>
        <v>3 Bas</v>
      </c>
      <c r="L94" s="4" t="str">
        <f t="shared" si="22"/>
        <v>tion</v>
      </c>
      <c r="M94" s="4" t="str">
        <f t="shared" si="23"/>
        <v xml:space="preserve">sil </v>
      </c>
      <c r="N94" s="4" t="str">
        <f t="shared" si="24"/>
        <v>not picked</v>
      </c>
      <c r="O94" s="4" t="str">
        <f t="shared" si="25"/>
        <v>Not potential</v>
      </c>
    </row>
    <row r="95" spans="1:15" s="4" customFormat="1" ht="19.95" customHeight="1" x14ac:dyDescent="0.25">
      <c r="A95" s="3">
        <v>95</v>
      </c>
      <c r="B95" s="3" t="s">
        <v>230</v>
      </c>
      <c r="C95" s="8" t="s">
        <v>384</v>
      </c>
      <c r="D95" s="3" t="s">
        <v>231</v>
      </c>
      <c r="E95" s="3" t="s">
        <v>232</v>
      </c>
      <c r="F95" s="6">
        <v>72.75</v>
      </c>
      <c r="G95" s="3" t="s">
        <v>233</v>
      </c>
      <c r="H95" s="4">
        <f t="shared" si="18"/>
        <v>40</v>
      </c>
      <c r="I95" s="4">
        <f t="shared" si="19"/>
        <v>55</v>
      </c>
      <c r="J95" s="5" t="str">
        <f t="shared" si="20"/>
        <v>greater than avg</v>
      </c>
      <c r="K95" s="6" t="str">
        <f t="shared" si="21"/>
        <v>4 Cre</v>
      </c>
      <c r="L95" s="4" t="str">
        <f t="shared" si="22"/>
        <v>tion</v>
      </c>
      <c r="M95" s="4" t="str">
        <f t="shared" si="23"/>
        <v>esce</v>
      </c>
      <c r="N95" s="4" t="str">
        <f t="shared" si="24"/>
        <v>not picked</v>
      </c>
      <c r="O95" s="4" t="str">
        <f t="shared" si="25"/>
        <v>Potential customer</v>
      </c>
    </row>
    <row r="96" spans="1:15" s="4" customFormat="1" ht="19.95" customHeight="1" x14ac:dyDescent="0.25">
      <c r="A96" s="3">
        <v>96</v>
      </c>
      <c r="B96" s="3" t="s">
        <v>94</v>
      </c>
      <c r="C96" s="8" t="s">
        <v>385</v>
      </c>
      <c r="D96" s="3" t="s">
        <v>95</v>
      </c>
      <c r="E96" s="3" t="s">
        <v>96</v>
      </c>
      <c r="F96" s="6">
        <v>24.92</v>
      </c>
      <c r="G96" s="3" t="s">
        <v>97</v>
      </c>
      <c r="H96" s="4">
        <f t="shared" si="18"/>
        <v>74</v>
      </c>
      <c r="I96" s="4">
        <f t="shared" si="19"/>
        <v>21</v>
      </c>
      <c r="J96" s="5" t="str">
        <f t="shared" si="20"/>
        <v>less than avg</v>
      </c>
      <c r="K96" s="6" t="str">
        <f t="shared" si="21"/>
        <v>91 Ri</v>
      </c>
      <c r="L96" s="4" t="str">
        <f t="shared" si="22"/>
        <v>rive</v>
      </c>
      <c r="M96" s="4" t="str">
        <f t="shared" si="23"/>
        <v>idge</v>
      </c>
      <c r="N96" s="4" t="str">
        <f t="shared" si="24"/>
        <v>not picked</v>
      </c>
      <c r="O96" s="4" t="str">
        <f t="shared" si="25"/>
        <v>Not potential</v>
      </c>
    </row>
    <row r="97" spans="1:15" s="4" customFormat="1" ht="19.95" customHeight="1" x14ac:dyDescent="0.25">
      <c r="A97" s="3">
        <v>97</v>
      </c>
      <c r="B97" s="3" t="s">
        <v>338</v>
      </c>
      <c r="C97" s="8" t="s">
        <v>385</v>
      </c>
      <c r="D97" s="3" t="s">
        <v>339</v>
      </c>
      <c r="E97" s="3"/>
      <c r="F97" s="6">
        <v>35.01</v>
      </c>
      <c r="G97" s="3" t="s">
        <v>340</v>
      </c>
      <c r="H97" s="4">
        <f t="shared" si="18"/>
        <v>67</v>
      </c>
      <c r="I97" s="4">
        <f t="shared" si="19"/>
        <v>28</v>
      </c>
      <c r="J97" s="5" t="str">
        <f t="shared" si="20"/>
        <v>less than avg</v>
      </c>
      <c r="K97" s="6" t="str">
        <f t="shared" si="21"/>
        <v>490 G</v>
      </c>
      <c r="L97" s="4" t="str">
        <f t="shared" si="22"/>
        <v>lace</v>
      </c>
      <c r="M97" s="4" t="str">
        <f t="shared" si="23"/>
        <v>Gina</v>
      </c>
      <c r="N97" s="4" t="str">
        <f t="shared" si="24"/>
        <v>not picked</v>
      </c>
      <c r="O97" s="4" t="str">
        <f t="shared" si="25"/>
        <v>Not potential</v>
      </c>
    </row>
    <row r="98" spans="1:15" s="4" customFormat="1" ht="19.95" customHeight="1" x14ac:dyDescent="0.25">
      <c r="A98" s="3">
        <v>98</v>
      </c>
      <c r="B98" s="3" t="s">
        <v>201</v>
      </c>
      <c r="C98" s="8" t="s">
        <v>384</v>
      </c>
      <c r="D98" s="3" t="s">
        <v>202</v>
      </c>
      <c r="E98" s="3" t="s">
        <v>203</v>
      </c>
      <c r="F98" s="6">
        <v>72.42</v>
      </c>
      <c r="G98" s="3" t="s">
        <v>204</v>
      </c>
      <c r="H98" s="4">
        <f t="shared" si="18"/>
        <v>41</v>
      </c>
      <c r="I98" s="4">
        <f t="shared" si="19"/>
        <v>54</v>
      </c>
      <c r="J98" s="5" t="str">
        <f t="shared" si="20"/>
        <v>greater than avg</v>
      </c>
      <c r="K98" s="6" t="str">
        <f t="shared" si="21"/>
        <v>49326</v>
      </c>
      <c r="L98" s="4" t="str">
        <f t="shared" si="22"/>
        <v xml:space="preserve"> Way</v>
      </c>
      <c r="M98" s="4" t="str">
        <f t="shared" si="23"/>
        <v>6 Tr</v>
      </c>
      <c r="N98" s="4" t="str">
        <f t="shared" si="24"/>
        <v>not picked</v>
      </c>
      <c r="O98" s="4" t="str">
        <f t="shared" si="25"/>
        <v>Potential customer</v>
      </c>
    </row>
    <row r="99" spans="1:15" s="4" customFormat="1" ht="19.95" customHeight="1" x14ac:dyDescent="0.25">
      <c r="A99" s="3">
        <v>99</v>
      </c>
      <c r="B99" s="3" t="s">
        <v>316</v>
      </c>
      <c r="C99" s="8" t="s">
        <v>385</v>
      </c>
      <c r="D99" s="3" t="s">
        <v>317</v>
      </c>
      <c r="E99" s="3"/>
      <c r="F99" s="6">
        <v>47.41</v>
      </c>
      <c r="G99" s="3" t="s">
        <v>318</v>
      </c>
      <c r="H99" s="4">
        <f t="shared" si="18"/>
        <v>61</v>
      </c>
      <c r="I99" s="4">
        <f t="shared" si="19"/>
        <v>34</v>
      </c>
      <c r="J99" s="5" t="str">
        <f t="shared" si="20"/>
        <v>less than avg</v>
      </c>
      <c r="K99" s="6" t="str">
        <f t="shared" si="21"/>
        <v>46109</v>
      </c>
      <c r="L99" s="4" t="str">
        <f t="shared" si="22"/>
        <v>lley</v>
      </c>
      <c r="M99" s="4" t="str">
        <f t="shared" si="23"/>
        <v>9 Ga</v>
      </c>
      <c r="N99" s="4" t="str">
        <f t="shared" si="24"/>
        <v>not picked</v>
      </c>
      <c r="O99" s="4" t="str">
        <f t="shared" si="25"/>
        <v>Not potential</v>
      </c>
    </row>
    <row r="100" spans="1:15" s="4" customFormat="1" ht="19.95" customHeight="1" x14ac:dyDescent="0.25">
      <c r="A100" s="3">
        <v>100</v>
      </c>
      <c r="B100" s="3" t="s">
        <v>190</v>
      </c>
      <c r="C100" s="8" t="s">
        <v>391</v>
      </c>
      <c r="D100" s="3" t="s">
        <v>191</v>
      </c>
      <c r="E100" s="3"/>
      <c r="F100" s="6">
        <v>86.83</v>
      </c>
      <c r="G100" s="3" t="s">
        <v>192</v>
      </c>
      <c r="H100" s="4">
        <f t="shared" si="18"/>
        <v>24</v>
      </c>
      <c r="I100" s="4">
        <f t="shared" si="19"/>
        <v>71</v>
      </c>
      <c r="J100" s="5" t="str">
        <f t="shared" si="20"/>
        <v>greater than avg</v>
      </c>
      <c r="K100" s="6" t="str">
        <f t="shared" si="21"/>
        <v>27900</v>
      </c>
      <c r="L100" s="4" t="str">
        <f t="shared" si="22"/>
        <v>ourt</v>
      </c>
      <c r="M100" s="4" t="str">
        <f t="shared" si="23"/>
        <v>0 Fo</v>
      </c>
      <c r="N100" s="4" t="str">
        <f t="shared" si="24"/>
        <v>not picked</v>
      </c>
      <c r="O100" s="4" t="str">
        <f t="shared" si="25"/>
        <v>Not potential</v>
      </c>
    </row>
    <row r="101" spans="1:15" s="4" customFormat="1" ht="19.95" customHeight="1" x14ac:dyDescent="0.25">
      <c r="A101" s="3">
        <v>101</v>
      </c>
      <c r="B101" s="3" t="s">
        <v>387</v>
      </c>
      <c r="C101" s="8" t="s">
        <v>384</v>
      </c>
      <c r="D101" s="3" t="s">
        <v>388</v>
      </c>
      <c r="E101" s="3" t="s">
        <v>389</v>
      </c>
      <c r="F101" s="6">
        <v>76.23</v>
      </c>
      <c r="G101" s="3" t="s">
        <v>390</v>
      </c>
      <c r="H101" s="4">
        <f t="shared" si="18"/>
        <v>37</v>
      </c>
      <c r="I101" s="4">
        <f t="shared" si="19"/>
        <v>58</v>
      </c>
      <c r="J101" s="5" t="str">
        <f t="shared" si="20"/>
        <v>greater than avg</v>
      </c>
      <c r="K101" s="6" t="str">
        <f t="shared" si="21"/>
        <v>17 Ba</v>
      </c>
      <c r="L101" s="4" t="str">
        <f t="shared" si="22"/>
        <v>reet</v>
      </c>
      <c r="M101" s="4" t="str">
        <f t="shared" si="23"/>
        <v>aker</v>
      </c>
      <c r="N101" s="4" t="str">
        <f t="shared" si="24"/>
        <v>not picked</v>
      </c>
      <c r="O101" s="4" t="str">
        <f t="shared" si="25"/>
        <v>Potential customer</v>
      </c>
    </row>
    <row r="102" spans="1:15" x14ac:dyDescent="0.3">
      <c r="A102" s="3"/>
      <c r="B102" s="3" t="s">
        <v>306</v>
      </c>
      <c r="C102" s="8" t="s">
        <v>384</v>
      </c>
      <c r="D102" s="3" t="s">
        <v>307</v>
      </c>
      <c r="E102" s="3" t="s">
        <v>308</v>
      </c>
      <c r="F102" s="6">
        <v>6.11</v>
      </c>
      <c r="G102" s="3" t="s">
        <v>309</v>
      </c>
      <c r="H102" s="4">
        <f t="shared" si="18"/>
        <v>90</v>
      </c>
      <c r="I102" s="4">
        <f t="shared" si="19"/>
        <v>5</v>
      </c>
      <c r="J102" s="5" t="str">
        <f t="shared" si="20"/>
        <v>less than avg</v>
      </c>
      <c r="K102" s="6" t="str">
        <f t="shared" si="21"/>
        <v>780 G</v>
      </c>
      <c r="L102" s="4" t="str">
        <f t="shared" si="22"/>
        <v>oint</v>
      </c>
      <c r="M102" s="4" t="str">
        <f t="shared" si="23"/>
        <v>Guls</v>
      </c>
      <c r="N102" s="4" t="str">
        <f t="shared" si="24"/>
        <v>not picked</v>
      </c>
      <c r="O102" s="4" t="str">
        <f t="shared" si="25"/>
        <v>Potential customer</v>
      </c>
    </row>
  </sheetData>
  <autoFilter ref="A1:O101" xr:uid="{C205D38E-67A6-4581-9033-B7AD83F1959F}">
    <sortState xmlns:xlrd2="http://schemas.microsoft.com/office/spreadsheetml/2017/richdata2" ref="A2:O102">
      <sortCondition ref="A1:A101"/>
    </sortState>
  </autoFilter>
  <dataValidations count="1">
    <dataValidation type="list" allowBlank="1" showInputMessage="1" showErrorMessage="1" sqref="C2:C102" xr:uid="{2B4D7980-13B0-4D10-9447-8F3444B7E918}">
      <formula1>"Male,Female, LGBTQ+"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0EE2-481D-4C78-A452-94628275450E}">
  <dimension ref="A1:C17"/>
  <sheetViews>
    <sheetView zoomScale="215" workbookViewId="0">
      <selection activeCell="V25" sqref="V25"/>
    </sheetView>
  </sheetViews>
  <sheetFormatPr defaultRowHeight="14.4" x14ac:dyDescent="0.3"/>
  <cols>
    <col min="1" max="1" width="16.44140625" bestFit="1" customWidth="1"/>
    <col min="2" max="2" width="19.5546875" bestFit="1" customWidth="1"/>
  </cols>
  <sheetData>
    <row r="1" spans="1:3" ht="23.4" x14ac:dyDescent="0.45">
      <c r="A1" s="10" t="s">
        <v>393</v>
      </c>
    </row>
    <row r="2" spans="1:3" x14ac:dyDescent="0.3">
      <c r="A2" s="2" t="s">
        <v>1</v>
      </c>
      <c r="B2" s="2" t="s">
        <v>5</v>
      </c>
      <c r="C2" s="9" t="s">
        <v>383</v>
      </c>
    </row>
    <row r="3" spans="1:3" x14ac:dyDescent="0.3">
      <c r="A3" s="3" t="s">
        <v>25</v>
      </c>
      <c r="B3" t="str">
        <f>VLOOKUP(A3,database!$B$2:$O$102,6,FALSE)</f>
        <v>868 Quincy Circle</v>
      </c>
      <c r="C3" t="str">
        <f>VLOOKUP(A3,database!$B$2:$O$102,2,FALSE)</f>
        <v>LGBTQ+</v>
      </c>
    </row>
    <row r="4" spans="1:3" x14ac:dyDescent="0.3">
      <c r="A4" t="s">
        <v>44</v>
      </c>
      <c r="B4" t="str">
        <f>VLOOKUP(A4,database!$B$2:$O$102,6,FALSE)</f>
        <v>88567 Hooker Street</v>
      </c>
      <c r="C4" t="str">
        <f>VLOOKUP(A4,database!$B$2:$O$102,2,FALSE)</f>
        <v>Female</v>
      </c>
    </row>
    <row r="5" spans="1:3" x14ac:dyDescent="0.3">
      <c r="A5" t="s">
        <v>140</v>
      </c>
      <c r="B5" t="str">
        <f>VLOOKUP(A5,database!$B$2:$O$102,6,FALSE)</f>
        <v>427 Cherokee Place</v>
      </c>
      <c r="C5" t="str">
        <f>VLOOKUP(A5,database!$B$2:$O$102,2,FALSE)</f>
        <v>Female</v>
      </c>
    </row>
    <row r="6" spans="1:3" x14ac:dyDescent="0.3">
      <c r="A6" t="s">
        <v>357</v>
      </c>
      <c r="B6" t="str">
        <f>VLOOKUP(A6,database!$B$2:$O$102,6,FALSE)</f>
        <v>98120 Eagan Terrace</v>
      </c>
      <c r="C6" t="str">
        <f>VLOOKUP(A6,database!$B$2:$O$102,2,FALSE)</f>
        <v>Female</v>
      </c>
    </row>
    <row r="7" spans="1:3" x14ac:dyDescent="0.3">
      <c r="A7" t="s">
        <v>197</v>
      </c>
      <c r="B7" t="str">
        <f>VLOOKUP(A7,database!$B$2:$O$102,6,FALSE)</f>
        <v>00 Glacier Hill Junction</v>
      </c>
      <c r="C7" t="str">
        <f>VLOOKUP(A7,database!$B$2:$O$102,2,FALSE)</f>
        <v>Male</v>
      </c>
    </row>
    <row r="8" spans="1:3" x14ac:dyDescent="0.3">
      <c r="A8" t="s">
        <v>392</v>
      </c>
      <c r="B8" t="e">
        <f>VLOOKUP(A8,database!$B$2:$O$102,6,FALSE)</f>
        <v>#N/A</v>
      </c>
      <c r="C8" t="e">
        <f>VLOOKUP(A8,database!$B$2:$O$102,2,FALSE)</f>
        <v>#N/A</v>
      </c>
    </row>
    <row r="14" spans="1:3" ht="23.4" x14ac:dyDescent="0.45">
      <c r="A14" s="10"/>
    </row>
    <row r="15" spans="1:3" x14ac:dyDescent="0.3">
      <c r="A15" s="2"/>
    </row>
    <row r="16" spans="1:3" x14ac:dyDescent="0.3">
      <c r="A16" s="2"/>
    </row>
    <row r="17" spans="1:1" x14ac:dyDescent="0.3">
      <c r="A1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A938-849F-4B9E-B675-D6854559703F}">
  <dimension ref="A1:E8"/>
  <sheetViews>
    <sheetView zoomScale="201" workbookViewId="0">
      <selection activeCell="V25" sqref="V25"/>
    </sheetView>
  </sheetViews>
  <sheetFormatPr defaultRowHeight="14.4" x14ac:dyDescent="0.3"/>
  <cols>
    <col min="1" max="1" width="10.5546875" bestFit="1" customWidth="1"/>
    <col min="2" max="2" width="18.88671875" bestFit="1" customWidth="1"/>
    <col min="3" max="4" width="15.6640625" bestFit="1" customWidth="1"/>
    <col min="5" max="5" width="16.33203125" bestFit="1" customWidth="1"/>
  </cols>
  <sheetData>
    <row r="1" spans="1:5" ht="23.4" x14ac:dyDescent="0.45">
      <c r="A1" s="10" t="s">
        <v>394</v>
      </c>
    </row>
    <row r="2" spans="1:5" x14ac:dyDescent="0.3">
      <c r="A2" s="1" t="s">
        <v>1</v>
      </c>
      <c r="B2" s="3" t="s">
        <v>40</v>
      </c>
      <c r="C2" s="3" t="s">
        <v>334</v>
      </c>
      <c r="D2" s="3" t="s">
        <v>295</v>
      </c>
      <c r="E2" s="3" t="s">
        <v>109</v>
      </c>
    </row>
    <row r="3" spans="1:5" x14ac:dyDescent="0.3">
      <c r="A3" s="9" t="s">
        <v>383</v>
      </c>
      <c r="B3" s="8" t="s">
        <v>385</v>
      </c>
      <c r="C3" s="8" t="s">
        <v>385</v>
      </c>
      <c r="D3" s="8" t="s">
        <v>385</v>
      </c>
      <c r="E3" s="8" t="s">
        <v>384</v>
      </c>
    </row>
    <row r="4" spans="1:5" x14ac:dyDescent="0.3">
      <c r="A4" s="1" t="s">
        <v>2</v>
      </c>
      <c r="B4" s="3" t="s">
        <v>41</v>
      </c>
      <c r="C4" s="3" t="s">
        <v>335</v>
      </c>
      <c r="D4" s="3" t="s">
        <v>296</v>
      </c>
      <c r="E4" s="3" t="s">
        <v>110</v>
      </c>
    </row>
    <row r="5" spans="1:5" x14ac:dyDescent="0.3">
      <c r="A5" s="1" t="s">
        <v>3</v>
      </c>
      <c r="B5" s="3" t="s">
        <v>42</v>
      </c>
      <c r="C5" s="3" t="s">
        <v>336</v>
      </c>
      <c r="D5" s="3" t="s">
        <v>297</v>
      </c>
      <c r="E5" s="3" t="s">
        <v>111</v>
      </c>
    </row>
    <row r="7" spans="1:5" x14ac:dyDescent="0.3">
      <c r="A7" s="1" t="s">
        <v>1</v>
      </c>
      <c r="B7" s="3" t="s">
        <v>40</v>
      </c>
    </row>
    <row r="8" spans="1:5" x14ac:dyDescent="0.3">
      <c r="A8" s="9" t="s">
        <v>383</v>
      </c>
      <c r="B8" t="str">
        <f>HLOOKUP(B7,B2:E5,2,FALSE)</f>
        <v>Male</v>
      </c>
    </row>
  </sheetData>
  <dataValidations count="1">
    <dataValidation type="list" allowBlank="1" showInputMessage="1" showErrorMessage="1" sqref="B3:E3" xr:uid="{47B133F6-7E2E-460F-A3FB-4198C532A352}">
      <formula1>"Male,Female, LGBTQ+"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C406-88A7-4F5F-BBA3-A7FA706AD635}">
  <dimension ref="A1:C21"/>
  <sheetViews>
    <sheetView topLeftCell="A2" zoomScale="129" workbookViewId="0">
      <selection activeCell="V25" sqref="V25"/>
    </sheetView>
  </sheetViews>
  <sheetFormatPr defaultRowHeight="14.4" x14ac:dyDescent="0.3"/>
  <cols>
    <col min="1" max="1" width="15.109375" bestFit="1" customWidth="1"/>
    <col min="2" max="2" width="24.88671875" bestFit="1" customWidth="1"/>
    <col min="3" max="3" width="25.44140625" bestFit="1" customWidth="1"/>
  </cols>
  <sheetData>
    <row r="1" spans="1:3" x14ac:dyDescent="0.3">
      <c r="A1" s="2" t="s">
        <v>395</v>
      </c>
      <c r="B1" s="2" t="s">
        <v>396</v>
      </c>
    </row>
    <row r="2" spans="1:3" x14ac:dyDescent="0.3">
      <c r="A2">
        <v>0</v>
      </c>
      <c r="B2" s="11" t="s">
        <v>401</v>
      </c>
    </row>
    <row r="3" spans="1:3" x14ac:dyDescent="0.3">
      <c r="A3">
        <v>40</v>
      </c>
      <c r="B3" s="11" t="s">
        <v>397</v>
      </c>
    </row>
    <row r="4" spans="1:3" x14ac:dyDescent="0.3">
      <c r="A4">
        <v>50</v>
      </c>
      <c r="B4" t="s">
        <v>398</v>
      </c>
    </row>
    <row r="5" spans="1:3" x14ac:dyDescent="0.3">
      <c r="A5">
        <v>60</v>
      </c>
      <c r="B5" t="s">
        <v>399</v>
      </c>
    </row>
    <row r="6" spans="1:3" x14ac:dyDescent="0.3">
      <c r="A6">
        <v>70</v>
      </c>
      <c r="B6" t="s">
        <v>400</v>
      </c>
    </row>
    <row r="8" spans="1:3" x14ac:dyDescent="0.3">
      <c r="A8" s="2" t="s">
        <v>1</v>
      </c>
      <c r="B8" s="2" t="s">
        <v>395</v>
      </c>
      <c r="C8" s="2" t="s">
        <v>396</v>
      </c>
    </row>
    <row r="9" spans="1:3" x14ac:dyDescent="0.3">
      <c r="A9" t="s">
        <v>387</v>
      </c>
      <c r="B9">
        <v>57</v>
      </c>
      <c r="C9" t="str">
        <f>LOOKUP(B9,$A$2:$A$6,$B$2:$B$6)</f>
        <v>Lower Second-Class Honours</v>
      </c>
    </row>
    <row r="10" spans="1:3" x14ac:dyDescent="0.3">
      <c r="A10" t="s">
        <v>266</v>
      </c>
      <c r="B10">
        <v>63</v>
      </c>
      <c r="C10" t="str">
        <f t="shared" ref="C10:C21" si="0">LOOKUP(B10,$A$2:$A$6,$B$2:$B$6)</f>
        <v>Upper Second-Class Honours</v>
      </c>
    </row>
    <row r="11" spans="1:3" x14ac:dyDescent="0.3">
      <c r="A11" t="s">
        <v>113</v>
      </c>
      <c r="B11">
        <v>73</v>
      </c>
      <c r="C11" t="str">
        <f t="shared" si="0"/>
        <v>First-Class Honours</v>
      </c>
    </row>
    <row r="12" spans="1:3" x14ac:dyDescent="0.3">
      <c r="A12" t="s">
        <v>254</v>
      </c>
      <c r="B12">
        <v>54</v>
      </c>
      <c r="C12" t="str">
        <f t="shared" si="0"/>
        <v>Lower Second-Class Honours</v>
      </c>
    </row>
    <row r="13" spans="1:3" x14ac:dyDescent="0.3">
      <c r="A13" t="s">
        <v>328</v>
      </c>
      <c r="B13">
        <v>70</v>
      </c>
      <c r="C13" t="str">
        <f t="shared" si="0"/>
        <v>First-Class Honours</v>
      </c>
    </row>
    <row r="14" spans="1:3" x14ac:dyDescent="0.3">
      <c r="A14" t="s">
        <v>270</v>
      </c>
      <c r="B14">
        <v>52</v>
      </c>
      <c r="C14" t="str">
        <f t="shared" si="0"/>
        <v>Lower Second-Class Honours</v>
      </c>
    </row>
    <row r="15" spans="1:3" x14ac:dyDescent="0.3">
      <c r="A15" t="s">
        <v>291</v>
      </c>
      <c r="B15">
        <v>72</v>
      </c>
      <c r="C15" t="str">
        <f t="shared" si="0"/>
        <v>First-Class Honours</v>
      </c>
    </row>
    <row r="16" spans="1:3" x14ac:dyDescent="0.3">
      <c r="A16" t="s">
        <v>360</v>
      </c>
      <c r="B16">
        <v>73</v>
      </c>
      <c r="C16" t="str">
        <f t="shared" si="0"/>
        <v>First-Class Honours</v>
      </c>
    </row>
    <row r="17" spans="1:3" x14ac:dyDescent="0.3">
      <c r="A17" t="s">
        <v>44</v>
      </c>
      <c r="B17">
        <v>59</v>
      </c>
      <c r="C17" t="str">
        <f t="shared" si="0"/>
        <v>Lower Second-Class Honours</v>
      </c>
    </row>
    <row r="18" spans="1:3" x14ac:dyDescent="0.3">
      <c r="A18" t="s">
        <v>182</v>
      </c>
      <c r="B18">
        <v>62</v>
      </c>
      <c r="C18" t="str">
        <f t="shared" si="0"/>
        <v>Upper Second-Class Honours</v>
      </c>
    </row>
    <row r="19" spans="1:3" x14ac:dyDescent="0.3">
      <c r="A19" t="s">
        <v>324</v>
      </c>
      <c r="B19">
        <v>42</v>
      </c>
      <c r="C19" t="str">
        <f t="shared" si="0"/>
        <v>Third-Class Honours</v>
      </c>
    </row>
    <row r="20" spans="1:3" x14ac:dyDescent="0.3">
      <c r="A20" t="s">
        <v>140</v>
      </c>
      <c r="B20">
        <v>73</v>
      </c>
      <c r="C20" t="str">
        <f t="shared" si="0"/>
        <v>First-Class Honours</v>
      </c>
    </row>
    <row r="21" spans="1:3" x14ac:dyDescent="0.3">
      <c r="A21" t="s">
        <v>402</v>
      </c>
      <c r="B21">
        <v>32</v>
      </c>
      <c r="C21" t="str">
        <f t="shared" si="0"/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EA65-581E-4A40-86CD-D4B57BEE90F5}">
  <sheetPr>
    <tabColor theme="9"/>
  </sheetPr>
  <dimension ref="B2:C111"/>
  <sheetViews>
    <sheetView zoomScale="130" zoomScaleNormal="130" workbookViewId="0">
      <selection activeCell="V25" sqref="V25"/>
    </sheetView>
  </sheetViews>
  <sheetFormatPr defaultRowHeight="14.4" x14ac:dyDescent="0.3"/>
  <cols>
    <col min="2" max="2" width="26.21875" bestFit="1" customWidth="1"/>
    <col min="3" max="3" width="11.5546875" bestFit="1" customWidth="1"/>
    <col min="4" max="4" width="15.5546875" bestFit="1" customWidth="1"/>
    <col min="5" max="5" width="10.77734375" bestFit="1" customWidth="1"/>
  </cols>
  <sheetData>
    <row r="2" spans="2:3" x14ac:dyDescent="0.3">
      <c r="B2" s="12" t="s">
        <v>408</v>
      </c>
      <c r="C2" t="s">
        <v>410</v>
      </c>
    </row>
    <row r="3" spans="2:3" x14ac:dyDescent="0.3">
      <c r="B3" s="13" t="s">
        <v>385</v>
      </c>
      <c r="C3">
        <v>45</v>
      </c>
    </row>
    <row r="4" spans="2:3" x14ac:dyDescent="0.3">
      <c r="B4" s="13" t="s">
        <v>384</v>
      </c>
      <c r="C4">
        <v>40</v>
      </c>
    </row>
    <row r="5" spans="2:3" x14ac:dyDescent="0.3">
      <c r="B5" s="13" t="s">
        <v>391</v>
      </c>
      <c r="C5">
        <v>16</v>
      </c>
    </row>
    <row r="6" spans="2:3" x14ac:dyDescent="0.3">
      <c r="B6" s="13" t="s">
        <v>409</v>
      </c>
      <c r="C6">
        <v>101</v>
      </c>
    </row>
    <row r="24" spans="2:3" x14ac:dyDescent="0.3">
      <c r="B24" s="12" t="s">
        <v>408</v>
      </c>
      <c r="C24" t="s">
        <v>411</v>
      </c>
    </row>
    <row r="25" spans="2:3" x14ac:dyDescent="0.3">
      <c r="B25" s="13" t="s">
        <v>157</v>
      </c>
      <c r="C25">
        <v>224.48999999999998</v>
      </c>
    </row>
    <row r="26" spans="2:3" x14ac:dyDescent="0.3">
      <c r="B26" s="13" t="s">
        <v>55</v>
      </c>
      <c r="C26">
        <v>219.99</v>
      </c>
    </row>
    <row r="27" spans="2:3" x14ac:dyDescent="0.3">
      <c r="B27" s="13" t="s">
        <v>278</v>
      </c>
      <c r="C27">
        <v>186.98000000000002</v>
      </c>
    </row>
    <row r="28" spans="2:3" x14ac:dyDescent="0.3">
      <c r="B28" s="13" t="s">
        <v>151</v>
      </c>
      <c r="C28">
        <v>171.25</v>
      </c>
    </row>
    <row r="29" spans="2:3" x14ac:dyDescent="0.3">
      <c r="B29" s="13" t="s">
        <v>307</v>
      </c>
      <c r="C29">
        <v>168.45</v>
      </c>
    </row>
    <row r="30" spans="2:3" x14ac:dyDescent="0.3">
      <c r="B30" s="13" t="s">
        <v>202</v>
      </c>
      <c r="C30">
        <v>155.82999999999998</v>
      </c>
    </row>
    <row r="31" spans="2:3" x14ac:dyDescent="0.3">
      <c r="B31" s="13" t="s">
        <v>317</v>
      </c>
      <c r="C31">
        <v>135.86000000000001</v>
      </c>
    </row>
    <row r="32" spans="2:3" x14ac:dyDescent="0.3">
      <c r="B32" s="13" t="s">
        <v>84</v>
      </c>
      <c r="C32">
        <v>115.83000000000001</v>
      </c>
    </row>
    <row r="33" spans="2:3" x14ac:dyDescent="0.3">
      <c r="B33" s="13" t="s">
        <v>165</v>
      </c>
      <c r="C33">
        <v>114.05000000000001</v>
      </c>
    </row>
    <row r="34" spans="2:3" x14ac:dyDescent="0.3">
      <c r="B34" s="13" t="s">
        <v>137</v>
      </c>
      <c r="C34">
        <v>98.9</v>
      </c>
    </row>
    <row r="35" spans="2:3" x14ac:dyDescent="0.3">
      <c r="B35" s="13" t="s">
        <v>13</v>
      </c>
      <c r="C35">
        <v>98.13</v>
      </c>
    </row>
    <row r="36" spans="2:3" x14ac:dyDescent="0.3">
      <c r="B36" s="13" t="s">
        <v>76</v>
      </c>
      <c r="C36">
        <v>98.11</v>
      </c>
    </row>
    <row r="37" spans="2:3" x14ac:dyDescent="0.3">
      <c r="B37" s="13" t="s">
        <v>342</v>
      </c>
      <c r="C37">
        <v>97.89</v>
      </c>
    </row>
    <row r="38" spans="2:3" x14ac:dyDescent="0.3">
      <c r="B38" s="13" t="s">
        <v>259</v>
      </c>
      <c r="C38">
        <v>97.12</v>
      </c>
    </row>
    <row r="39" spans="2:3" x14ac:dyDescent="0.3">
      <c r="B39" s="13" t="s">
        <v>247</v>
      </c>
      <c r="C39">
        <v>96.79</v>
      </c>
    </row>
    <row r="40" spans="2:3" x14ac:dyDescent="0.3">
      <c r="B40" s="13" t="s">
        <v>22</v>
      </c>
      <c r="C40">
        <v>96.7</v>
      </c>
    </row>
    <row r="41" spans="2:3" x14ac:dyDescent="0.3">
      <c r="B41" s="13" t="s">
        <v>209</v>
      </c>
      <c r="C41">
        <v>95.9</v>
      </c>
    </row>
    <row r="42" spans="2:3" x14ac:dyDescent="0.3">
      <c r="B42" s="13" t="s">
        <v>48</v>
      </c>
      <c r="C42">
        <v>94.9</v>
      </c>
    </row>
    <row r="43" spans="2:3" x14ac:dyDescent="0.3">
      <c r="B43" s="13" t="s">
        <v>216</v>
      </c>
      <c r="C43">
        <v>94.18</v>
      </c>
    </row>
    <row r="44" spans="2:3" x14ac:dyDescent="0.3">
      <c r="B44" s="13" t="s">
        <v>239</v>
      </c>
      <c r="C44">
        <v>92.34</v>
      </c>
    </row>
    <row r="45" spans="2:3" x14ac:dyDescent="0.3">
      <c r="B45" s="13" t="s">
        <v>243</v>
      </c>
      <c r="C45">
        <v>91.21</v>
      </c>
    </row>
    <row r="46" spans="2:3" x14ac:dyDescent="0.3">
      <c r="B46" s="13" t="s">
        <v>187</v>
      </c>
      <c r="C46">
        <v>90.75</v>
      </c>
    </row>
    <row r="47" spans="2:3" x14ac:dyDescent="0.3">
      <c r="B47" s="13" t="s">
        <v>219</v>
      </c>
      <c r="C47">
        <v>88.43</v>
      </c>
    </row>
    <row r="48" spans="2:3" x14ac:dyDescent="0.3">
      <c r="B48" s="13" t="s">
        <v>106</v>
      </c>
      <c r="C48">
        <v>88.13</v>
      </c>
    </row>
    <row r="49" spans="2:3" x14ac:dyDescent="0.3">
      <c r="B49" s="13" t="s">
        <v>191</v>
      </c>
      <c r="C49">
        <v>86.83</v>
      </c>
    </row>
    <row r="50" spans="2:3" x14ac:dyDescent="0.3">
      <c r="B50" s="13" t="s">
        <v>26</v>
      </c>
      <c r="C50">
        <v>83.92</v>
      </c>
    </row>
    <row r="51" spans="2:3" x14ac:dyDescent="0.3">
      <c r="B51" s="13" t="s">
        <v>179</v>
      </c>
      <c r="C51">
        <v>83.25</v>
      </c>
    </row>
    <row r="52" spans="2:3" x14ac:dyDescent="0.3">
      <c r="B52" s="13" t="s">
        <v>263</v>
      </c>
      <c r="C52">
        <v>83.04</v>
      </c>
    </row>
    <row r="53" spans="2:3" x14ac:dyDescent="0.3">
      <c r="B53" s="13" t="s">
        <v>300</v>
      </c>
      <c r="C53">
        <v>81.22</v>
      </c>
    </row>
    <row r="54" spans="2:3" x14ac:dyDescent="0.3">
      <c r="B54" s="13" t="s">
        <v>30</v>
      </c>
      <c r="C54">
        <v>80.7</v>
      </c>
    </row>
    <row r="55" spans="2:3" x14ac:dyDescent="0.3">
      <c r="B55" s="13" t="s">
        <v>172</v>
      </c>
      <c r="C55">
        <v>78.95</v>
      </c>
    </row>
    <row r="56" spans="2:3" x14ac:dyDescent="0.3">
      <c r="B56" s="13" t="s">
        <v>8</v>
      </c>
      <c r="C56">
        <v>78.94</v>
      </c>
    </row>
    <row r="57" spans="2:3" x14ac:dyDescent="0.3">
      <c r="B57" s="13" t="s">
        <v>350</v>
      </c>
      <c r="C57">
        <v>78.08</v>
      </c>
    </row>
    <row r="58" spans="2:3" x14ac:dyDescent="0.3">
      <c r="B58" s="13" t="s">
        <v>148</v>
      </c>
      <c r="C58">
        <v>78.069999999999993</v>
      </c>
    </row>
    <row r="59" spans="2:3" x14ac:dyDescent="0.3">
      <c r="B59" s="13" t="s">
        <v>388</v>
      </c>
      <c r="C59">
        <v>76.23</v>
      </c>
    </row>
    <row r="60" spans="2:3" x14ac:dyDescent="0.3">
      <c r="B60" s="13" t="s">
        <v>322</v>
      </c>
      <c r="C60">
        <v>75.28</v>
      </c>
    </row>
    <row r="61" spans="2:3" x14ac:dyDescent="0.3">
      <c r="B61" s="13" t="s">
        <v>231</v>
      </c>
      <c r="C61">
        <v>72.75</v>
      </c>
    </row>
    <row r="62" spans="2:3" x14ac:dyDescent="0.3">
      <c r="B62" s="13" t="s">
        <v>194</v>
      </c>
      <c r="C62">
        <v>71.78</v>
      </c>
    </row>
    <row r="63" spans="2:3" x14ac:dyDescent="0.3">
      <c r="B63" s="13" t="s">
        <v>251</v>
      </c>
      <c r="C63">
        <v>70.55</v>
      </c>
    </row>
    <row r="64" spans="2:3" x14ac:dyDescent="0.3">
      <c r="B64" s="13" t="s">
        <v>304</v>
      </c>
      <c r="C64">
        <v>66.38</v>
      </c>
    </row>
    <row r="65" spans="2:3" x14ac:dyDescent="0.3">
      <c r="B65" s="13" t="s">
        <v>34</v>
      </c>
      <c r="C65">
        <v>66.239999999999995</v>
      </c>
    </row>
    <row r="66" spans="2:3" x14ac:dyDescent="0.3">
      <c r="B66" s="13" t="s">
        <v>133</v>
      </c>
      <c r="C66">
        <v>64.55</v>
      </c>
    </row>
    <row r="67" spans="2:3" x14ac:dyDescent="0.3">
      <c r="B67" s="13" t="s">
        <v>223</v>
      </c>
      <c r="C67">
        <v>64.14</v>
      </c>
    </row>
    <row r="68" spans="2:3" x14ac:dyDescent="0.3">
      <c r="B68" s="13" t="s">
        <v>369</v>
      </c>
      <c r="C68">
        <v>63.12</v>
      </c>
    </row>
    <row r="69" spans="2:3" x14ac:dyDescent="0.3">
      <c r="B69" s="13" t="s">
        <v>175</v>
      </c>
      <c r="C69">
        <v>60.75</v>
      </c>
    </row>
    <row r="70" spans="2:3" x14ac:dyDescent="0.3">
      <c r="B70" s="13" t="s">
        <v>285</v>
      </c>
      <c r="C70">
        <v>59.99</v>
      </c>
    </row>
    <row r="71" spans="2:3" x14ac:dyDescent="0.3">
      <c r="B71" s="13" t="s">
        <v>117</v>
      </c>
      <c r="C71">
        <v>59.86</v>
      </c>
    </row>
    <row r="72" spans="2:3" x14ac:dyDescent="0.3">
      <c r="B72" s="13" t="s">
        <v>346</v>
      </c>
      <c r="C72">
        <v>53.71</v>
      </c>
    </row>
    <row r="73" spans="2:3" x14ac:dyDescent="0.3">
      <c r="B73" s="13" t="s">
        <v>80</v>
      </c>
      <c r="C73">
        <v>53.67</v>
      </c>
    </row>
    <row r="74" spans="2:3" x14ac:dyDescent="0.3">
      <c r="B74" s="13" t="s">
        <v>99</v>
      </c>
      <c r="C74">
        <v>52.27</v>
      </c>
    </row>
    <row r="75" spans="2:3" x14ac:dyDescent="0.3">
      <c r="B75" s="13" t="s">
        <v>51</v>
      </c>
      <c r="C75">
        <v>50.12</v>
      </c>
    </row>
    <row r="76" spans="2:3" x14ac:dyDescent="0.3">
      <c r="B76" s="13" t="s">
        <v>274</v>
      </c>
      <c r="C76">
        <v>49.92</v>
      </c>
    </row>
    <row r="77" spans="2:3" x14ac:dyDescent="0.3">
      <c r="B77" s="13" t="s">
        <v>145</v>
      </c>
      <c r="C77">
        <v>45.59</v>
      </c>
    </row>
    <row r="78" spans="2:3" x14ac:dyDescent="0.3">
      <c r="B78" s="13" t="s">
        <v>125</v>
      </c>
      <c r="C78">
        <v>43.47</v>
      </c>
    </row>
    <row r="79" spans="2:3" x14ac:dyDescent="0.3">
      <c r="B79" s="13" t="s">
        <v>129</v>
      </c>
      <c r="C79">
        <v>42.4</v>
      </c>
    </row>
    <row r="80" spans="2:3" x14ac:dyDescent="0.3">
      <c r="B80" s="13" t="s">
        <v>332</v>
      </c>
      <c r="C80">
        <v>41.93</v>
      </c>
    </row>
    <row r="81" spans="2:3" x14ac:dyDescent="0.3">
      <c r="B81" s="13" t="s">
        <v>339</v>
      </c>
      <c r="C81">
        <v>35.01</v>
      </c>
    </row>
    <row r="82" spans="2:3" x14ac:dyDescent="0.3">
      <c r="B82" s="13" t="s">
        <v>213</v>
      </c>
      <c r="C82">
        <v>34.9</v>
      </c>
    </row>
    <row r="83" spans="2:3" x14ac:dyDescent="0.3">
      <c r="B83" s="13" t="s">
        <v>72</v>
      </c>
      <c r="C83">
        <v>29.55</v>
      </c>
    </row>
    <row r="84" spans="2:3" x14ac:dyDescent="0.3">
      <c r="B84" s="13" t="s">
        <v>354</v>
      </c>
      <c r="C84">
        <v>28.830000000000002</v>
      </c>
    </row>
    <row r="85" spans="2:3" x14ac:dyDescent="0.3">
      <c r="B85" s="13" t="s">
        <v>121</v>
      </c>
      <c r="C85">
        <v>27.68</v>
      </c>
    </row>
    <row r="86" spans="2:3" x14ac:dyDescent="0.3">
      <c r="B86" s="13" t="s">
        <v>91</v>
      </c>
      <c r="C86">
        <v>26.85</v>
      </c>
    </row>
    <row r="87" spans="2:3" x14ac:dyDescent="0.3">
      <c r="B87" s="13" t="s">
        <v>235</v>
      </c>
      <c r="C87">
        <v>26.21</v>
      </c>
    </row>
    <row r="88" spans="2:3" x14ac:dyDescent="0.3">
      <c r="B88" s="13" t="s">
        <v>198</v>
      </c>
      <c r="C88">
        <v>25.94</v>
      </c>
    </row>
    <row r="89" spans="2:3" x14ac:dyDescent="0.3">
      <c r="B89" s="13" t="s">
        <v>95</v>
      </c>
      <c r="C89">
        <v>24.92</v>
      </c>
    </row>
    <row r="90" spans="2:3" x14ac:dyDescent="0.3">
      <c r="B90" s="13" t="s">
        <v>141</v>
      </c>
      <c r="C90">
        <v>19.809999999999999</v>
      </c>
    </row>
    <row r="91" spans="2:3" x14ac:dyDescent="0.3">
      <c r="B91" s="13" t="s">
        <v>325</v>
      </c>
      <c r="C91">
        <v>19.68</v>
      </c>
    </row>
    <row r="92" spans="2:3" x14ac:dyDescent="0.3">
      <c r="B92" s="13" t="s">
        <v>41</v>
      </c>
      <c r="C92">
        <v>15.69</v>
      </c>
    </row>
    <row r="93" spans="2:3" x14ac:dyDescent="0.3">
      <c r="B93" s="13" t="s">
        <v>183</v>
      </c>
      <c r="C93">
        <v>15.12</v>
      </c>
    </row>
    <row r="94" spans="2:3" x14ac:dyDescent="0.3">
      <c r="B94" s="13" t="s">
        <v>361</v>
      </c>
      <c r="C94">
        <v>14.55</v>
      </c>
    </row>
    <row r="95" spans="2:3" x14ac:dyDescent="0.3">
      <c r="B95" s="13" t="s">
        <v>292</v>
      </c>
      <c r="C95">
        <v>14.17</v>
      </c>
    </row>
    <row r="96" spans="2:3" x14ac:dyDescent="0.3">
      <c r="B96" s="13" t="s">
        <v>329</v>
      </c>
      <c r="C96">
        <v>9.66</v>
      </c>
    </row>
    <row r="97" spans="2:3" x14ac:dyDescent="0.3">
      <c r="B97" s="13" t="s">
        <v>255</v>
      </c>
      <c r="C97">
        <v>9.5500000000000007</v>
      </c>
    </row>
    <row r="98" spans="2:3" x14ac:dyDescent="0.3">
      <c r="B98" s="13" t="s">
        <v>114</v>
      </c>
      <c r="C98">
        <v>9.4</v>
      </c>
    </row>
    <row r="99" spans="2:3" x14ac:dyDescent="0.3">
      <c r="B99" s="13" t="s">
        <v>267</v>
      </c>
      <c r="C99">
        <v>8.1300000000000008</v>
      </c>
    </row>
    <row r="100" spans="2:3" x14ac:dyDescent="0.3">
      <c r="B100" s="13" t="s">
        <v>365</v>
      </c>
      <c r="C100">
        <v>7.82</v>
      </c>
    </row>
    <row r="101" spans="2:3" x14ac:dyDescent="0.3">
      <c r="B101" s="13" t="s">
        <v>68</v>
      </c>
      <c r="C101">
        <v>6.57</v>
      </c>
    </row>
    <row r="102" spans="2:3" x14ac:dyDescent="0.3">
      <c r="B102" s="13" t="s">
        <v>110</v>
      </c>
      <c r="C102">
        <v>5.49</v>
      </c>
    </row>
    <row r="103" spans="2:3" x14ac:dyDescent="0.3">
      <c r="B103" s="13" t="s">
        <v>296</v>
      </c>
      <c r="C103">
        <v>4.96</v>
      </c>
    </row>
    <row r="104" spans="2:3" x14ac:dyDescent="0.3">
      <c r="B104" s="13" t="s">
        <v>335</v>
      </c>
      <c r="C104">
        <v>1.7</v>
      </c>
    </row>
    <row r="105" spans="2:3" x14ac:dyDescent="0.3">
      <c r="B105" s="13" t="s">
        <v>102</v>
      </c>
    </row>
    <row r="106" spans="2:3" x14ac:dyDescent="0.3">
      <c r="B106" s="13" t="s">
        <v>37</v>
      </c>
    </row>
    <row r="107" spans="2:3" x14ac:dyDescent="0.3">
      <c r="B107" s="13" t="s">
        <v>271</v>
      </c>
    </row>
    <row r="108" spans="2:3" x14ac:dyDescent="0.3">
      <c r="B108" s="13" t="s">
        <v>288</v>
      </c>
    </row>
    <row r="109" spans="2:3" x14ac:dyDescent="0.3">
      <c r="B109" s="13" t="s">
        <v>227</v>
      </c>
    </row>
    <row r="110" spans="2:3" x14ac:dyDescent="0.3">
      <c r="B110" s="13" t="s">
        <v>17</v>
      </c>
    </row>
    <row r="111" spans="2:3" x14ac:dyDescent="0.3">
      <c r="B111" s="13" t="s">
        <v>409</v>
      </c>
      <c r="C111">
        <v>5452.1000000000013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C59E-D389-4D78-820B-D2F3EE8158EF}">
  <dimension ref="B2:G29"/>
  <sheetViews>
    <sheetView showGridLines="0" topLeftCell="A6" zoomScale="205" zoomScaleNormal="205" workbookViewId="0">
      <pane ySplit="5292" topLeftCell="A28" activePane="bottomLeft"/>
      <selection activeCell="H13" sqref="H13"/>
      <selection pane="bottomLeft" activeCell="B30" sqref="B30"/>
    </sheetView>
  </sheetViews>
  <sheetFormatPr defaultRowHeight="14.4" x14ac:dyDescent="0.3"/>
  <cols>
    <col min="1" max="1" width="3.109375" customWidth="1"/>
    <col min="2" max="2" width="11.44140625" customWidth="1"/>
    <col min="3" max="3" width="10.44140625" customWidth="1"/>
    <col min="4" max="4" width="12.44140625" customWidth="1"/>
    <col min="5" max="5" width="9.109375" customWidth="1"/>
  </cols>
  <sheetData>
    <row r="2" spans="2:7" x14ac:dyDescent="0.3">
      <c r="B2" t="s">
        <v>467</v>
      </c>
    </row>
    <row r="3" spans="2:7" x14ac:dyDescent="0.3">
      <c r="B3" t="s">
        <v>458</v>
      </c>
      <c r="C3" t="s">
        <v>459</v>
      </c>
      <c r="D3" t="s">
        <v>460</v>
      </c>
      <c r="E3" t="s">
        <v>461</v>
      </c>
    </row>
    <row r="4" spans="2:7" x14ac:dyDescent="0.3">
      <c r="B4">
        <v>100</v>
      </c>
      <c r="C4" t="s">
        <v>462</v>
      </c>
      <c r="D4" s="28">
        <v>36892</v>
      </c>
      <c r="E4">
        <v>50</v>
      </c>
    </row>
    <row r="5" spans="2:7" x14ac:dyDescent="0.3">
      <c r="B5">
        <v>200</v>
      </c>
      <c r="C5" t="s">
        <v>462</v>
      </c>
      <c r="D5" s="28">
        <v>37622</v>
      </c>
      <c r="E5">
        <v>70</v>
      </c>
    </row>
    <row r="6" spans="2:7" x14ac:dyDescent="0.3">
      <c r="B6">
        <v>180</v>
      </c>
      <c r="C6" t="s">
        <v>462</v>
      </c>
      <c r="D6" s="28">
        <v>37257</v>
      </c>
      <c r="E6">
        <v>60</v>
      </c>
    </row>
    <row r="7" spans="2:7" x14ac:dyDescent="0.3">
      <c r="B7">
        <v>110</v>
      </c>
      <c r="C7" t="s">
        <v>462</v>
      </c>
      <c r="D7" s="28">
        <v>36892</v>
      </c>
      <c r="E7">
        <v>90</v>
      </c>
    </row>
    <row r="8" spans="2:7" x14ac:dyDescent="0.3">
      <c r="B8">
        <v>190</v>
      </c>
      <c r="C8" t="s">
        <v>462</v>
      </c>
      <c r="D8" s="28">
        <v>37622</v>
      </c>
      <c r="E8">
        <v>10</v>
      </c>
    </row>
    <row r="9" spans="2:7" x14ac:dyDescent="0.3">
      <c r="B9">
        <v>150</v>
      </c>
      <c r="C9" t="s">
        <v>463</v>
      </c>
      <c r="D9" s="28">
        <v>37257</v>
      </c>
      <c r="E9">
        <v>30</v>
      </c>
    </row>
    <row r="10" spans="2:7" x14ac:dyDescent="0.3">
      <c r="B10">
        <v>120</v>
      </c>
      <c r="C10" t="s">
        <v>463</v>
      </c>
      <c r="D10" s="28">
        <v>36892</v>
      </c>
      <c r="E10">
        <v>40</v>
      </c>
    </row>
    <row r="11" spans="2:7" x14ac:dyDescent="0.3">
      <c r="B11">
        <v>130</v>
      </c>
      <c r="C11" t="s">
        <v>463</v>
      </c>
      <c r="D11" s="28">
        <v>37622</v>
      </c>
      <c r="E11">
        <v>80</v>
      </c>
    </row>
    <row r="12" spans="2:7" x14ac:dyDescent="0.3">
      <c r="B12">
        <v>160</v>
      </c>
      <c r="C12" t="s">
        <v>463</v>
      </c>
      <c r="D12" s="28">
        <v>37257</v>
      </c>
      <c r="E12">
        <v>20</v>
      </c>
    </row>
    <row r="14" spans="2:7" x14ac:dyDescent="0.3">
      <c r="B14" s="2" t="s">
        <v>412</v>
      </c>
    </row>
    <row r="15" spans="2:7" ht="15" x14ac:dyDescent="0.35">
      <c r="B15" s="30" t="s">
        <v>468</v>
      </c>
      <c r="C15" s="30"/>
      <c r="D15" s="30"/>
      <c r="E15" s="30"/>
      <c r="F15" s="30"/>
      <c r="G15" s="30"/>
    </row>
    <row r="16" spans="2:7" x14ac:dyDescent="0.3">
      <c r="B16" t="s">
        <v>462</v>
      </c>
      <c r="C16">
        <f>SUMIF(Table1[Region],B16,Table1[Amount])</f>
        <v>280</v>
      </c>
    </row>
    <row r="17" spans="2:7" x14ac:dyDescent="0.3">
      <c r="B17" t="s">
        <v>463</v>
      </c>
      <c r="C17">
        <f>SUMIF(Table1[Region],B17,Table1[Amount])</f>
        <v>170</v>
      </c>
    </row>
    <row r="19" spans="2:7" x14ac:dyDescent="0.3">
      <c r="B19" s="2" t="s">
        <v>413</v>
      </c>
    </row>
    <row r="20" spans="2:7" ht="37.200000000000003" customHeight="1" x14ac:dyDescent="0.3">
      <c r="B20" s="31" t="s">
        <v>464</v>
      </c>
      <c r="C20" s="31"/>
      <c r="D20" s="31"/>
      <c r="E20" s="31"/>
      <c r="F20" s="31"/>
      <c r="G20" s="31"/>
    </row>
    <row r="21" spans="2:7" ht="15" x14ac:dyDescent="0.35">
      <c r="B21" s="29">
        <f>SUMIFS(Table1[Amount],Table1[Region],"North",Table1[Date],"Jan-02")</f>
        <v>60</v>
      </c>
    </row>
    <row r="23" spans="2:7" x14ac:dyDescent="0.3">
      <c r="B23" s="2" t="s">
        <v>414</v>
      </c>
    </row>
    <row r="24" spans="2:7" ht="35.4" customHeight="1" x14ac:dyDescent="0.3">
      <c r="B24" s="31" t="s">
        <v>465</v>
      </c>
      <c r="C24" s="31"/>
      <c r="D24" s="31"/>
      <c r="E24" s="31"/>
      <c r="F24" s="31"/>
      <c r="G24" s="31"/>
    </row>
    <row r="25" spans="2:7" x14ac:dyDescent="0.3">
      <c r="B25">
        <f>COUNTIF(Table1[Amount],"&gt;=50")</f>
        <v>5</v>
      </c>
    </row>
    <row r="27" spans="2:7" x14ac:dyDescent="0.3">
      <c r="B27" s="2" t="s">
        <v>415</v>
      </c>
    </row>
    <row r="28" spans="2:7" ht="28.8" customHeight="1" x14ac:dyDescent="0.3">
      <c r="B28" s="31" t="s">
        <v>466</v>
      </c>
      <c r="C28" s="31"/>
      <c r="D28" s="31"/>
      <c r="E28" s="31"/>
      <c r="F28" s="31"/>
      <c r="G28" s="31"/>
    </row>
    <row r="29" spans="2:7" x14ac:dyDescent="0.3">
      <c r="B29">
        <f>COUNTIFS(Table1[Region],"South",Table1[Amount],"&gt;=40")</f>
        <v>2</v>
      </c>
    </row>
  </sheetData>
  <mergeCells count="4">
    <mergeCell ref="B15:G15"/>
    <mergeCell ref="B20:G20"/>
    <mergeCell ref="B24:G24"/>
    <mergeCell ref="B28:G28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E85E-BD52-42F9-B8A5-42714F5CAEE2}">
  <dimension ref="B2:S61"/>
  <sheetViews>
    <sheetView showGridLines="0" tabSelected="1" zoomScale="145" zoomScaleNormal="145" workbookViewId="0">
      <selection activeCell="D57" sqref="D57"/>
    </sheetView>
  </sheetViews>
  <sheetFormatPr defaultRowHeight="14.4" x14ac:dyDescent="0.3"/>
  <cols>
    <col min="2" max="2" width="24.21875" customWidth="1"/>
    <col min="3" max="3" width="17.88671875" customWidth="1"/>
    <col min="4" max="4" width="24" customWidth="1"/>
    <col min="17" max="17" width="7" customWidth="1"/>
    <col min="18" max="19" width="8.88671875" hidden="1" customWidth="1"/>
  </cols>
  <sheetData>
    <row r="2" spans="2:6" x14ac:dyDescent="0.3">
      <c r="B2" t="s">
        <v>432</v>
      </c>
      <c r="C2" t="s">
        <v>433</v>
      </c>
      <c r="E2" t="s">
        <v>434</v>
      </c>
      <c r="F2" s="17">
        <v>0.06</v>
      </c>
    </row>
    <row r="3" spans="2:6" x14ac:dyDescent="0.3">
      <c r="B3">
        <v>0</v>
      </c>
      <c r="C3" s="19">
        <v>-100000000</v>
      </c>
    </row>
    <row r="4" spans="2:6" x14ac:dyDescent="0.3">
      <c r="B4">
        <v>1</v>
      </c>
      <c r="C4" s="19">
        <v>20000000</v>
      </c>
    </row>
    <row r="5" spans="2:6" x14ac:dyDescent="0.3">
      <c r="B5">
        <v>2</v>
      </c>
      <c r="C5" s="19">
        <v>22000000</v>
      </c>
    </row>
    <row r="6" spans="2:6" x14ac:dyDescent="0.3">
      <c r="B6">
        <v>3</v>
      </c>
      <c r="C6" s="19">
        <f>C5*1.1</f>
        <v>24200000.000000004</v>
      </c>
    </row>
    <row r="7" spans="2:6" x14ac:dyDescent="0.3">
      <c r="B7">
        <v>4</v>
      </c>
      <c r="C7" s="19">
        <f>C6*1.1</f>
        <v>26620000.000000007</v>
      </c>
    </row>
    <row r="8" spans="2:6" x14ac:dyDescent="0.3">
      <c r="B8">
        <v>5</v>
      </c>
      <c r="C8" s="19">
        <f>C7*1.1</f>
        <v>29282000.000000011</v>
      </c>
    </row>
    <row r="9" spans="2:6" x14ac:dyDescent="0.3">
      <c r="B9" s="2" t="s">
        <v>457</v>
      </c>
      <c r="C9" s="19">
        <f>NPV(F2,C3:C8)</f>
        <v>1635264.1426951501</v>
      </c>
    </row>
    <row r="11" spans="2:6" x14ac:dyDescent="0.3">
      <c r="B11" t="s">
        <v>432</v>
      </c>
      <c r="C11" t="s">
        <v>433</v>
      </c>
    </row>
    <row r="12" spans="2:6" x14ac:dyDescent="0.3">
      <c r="B12">
        <v>0</v>
      </c>
      <c r="C12" s="19">
        <v>-100000000</v>
      </c>
    </row>
    <row r="13" spans="2:6" x14ac:dyDescent="0.3">
      <c r="B13">
        <v>1</v>
      </c>
      <c r="C13" s="19">
        <v>20000000</v>
      </c>
    </row>
    <row r="14" spans="2:6" x14ac:dyDescent="0.3">
      <c r="B14">
        <v>2</v>
      </c>
      <c r="C14" s="19">
        <v>20000000</v>
      </c>
    </row>
    <row r="15" spans="2:6" x14ac:dyDescent="0.3">
      <c r="B15">
        <v>3</v>
      </c>
      <c r="C15" s="19">
        <v>20000000</v>
      </c>
    </row>
    <row r="16" spans="2:6" x14ac:dyDescent="0.3">
      <c r="B16">
        <v>4</v>
      </c>
      <c r="C16" s="19">
        <v>20000000</v>
      </c>
    </row>
    <row r="17" spans="2:19" x14ac:dyDescent="0.3">
      <c r="B17">
        <v>5</v>
      </c>
      <c r="C17" s="19">
        <v>20000000</v>
      </c>
    </row>
    <row r="18" spans="2:19" x14ac:dyDescent="0.3">
      <c r="B18" s="2" t="s">
        <v>457</v>
      </c>
      <c r="C18" s="19">
        <f>NPV(F2,C12:C17)</f>
        <v>-14861060.649703523</v>
      </c>
    </row>
    <row r="19" spans="2:19" ht="79.2" customHeight="1" x14ac:dyDescent="0.4">
      <c r="B19" s="32" t="s">
        <v>435</v>
      </c>
      <c r="C19" s="32"/>
      <c r="D19" s="32"/>
      <c r="E19" s="32"/>
      <c r="F19" s="32"/>
      <c r="G19" s="32"/>
      <c r="H19" s="32"/>
      <c r="I19" s="32"/>
      <c r="J19" s="32"/>
      <c r="K19" s="40"/>
      <c r="L19" s="40"/>
      <c r="M19" s="40"/>
      <c r="N19" s="40"/>
      <c r="O19" s="40"/>
      <c r="P19" s="40"/>
      <c r="Q19" s="40"/>
      <c r="R19" s="40"/>
      <c r="S19" s="40"/>
    </row>
    <row r="22" spans="2:19" x14ac:dyDescent="0.3">
      <c r="B22" t="s">
        <v>455</v>
      </c>
      <c r="C22" s="17">
        <v>0.05</v>
      </c>
      <c r="E22" s="39" t="s">
        <v>476</v>
      </c>
    </row>
    <row r="23" spans="2:19" x14ac:dyDescent="0.3">
      <c r="B23" t="s">
        <v>437</v>
      </c>
      <c r="C23" s="35">
        <v>-10000</v>
      </c>
      <c r="E23" s="38" t="s">
        <v>477</v>
      </c>
      <c r="F23" t="s">
        <v>478</v>
      </c>
    </row>
    <row r="24" spans="2:19" x14ac:dyDescent="0.3">
      <c r="B24" t="s">
        <v>438</v>
      </c>
      <c r="C24" s="35">
        <v>-200</v>
      </c>
      <c r="E24" s="38" t="s">
        <v>479</v>
      </c>
      <c r="F24" t="s">
        <v>480</v>
      </c>
    </row>
    <row r="25" spans="2:19" x14ac:dyDescent="0.3">
      <c r="B25" t="s">
        <v>439</v>
      </c>
      <c r="C25">
        <v>10</v>
      </c>
      <c r="E25" s="38" t="s">
        <v>481</v>
      </c>
      <c r="F25" t="s">
        <v>482</v>
      </c>
    </row>
    <row r="26" spans="2:19" x14ac:dyDescent="0.3">
      <c r="B26" s="2" t="s">
        <v>444</v>
      </c>
      <c r="C26" s="21">
        <f>FV(C22,C25,C24,C23,0)</f>
        <v>18804.524774884183</v>
      </c>
      <c r="E26" s="38" t="s">
        <v>483</v>
      </c>
      <c r="F26" t="s">
        <v>484</v>
      </c>
    </row>
    <row r="29" spans="2:19" ht="72" customHeight="1" x14ac:dyDescent="0.45">
      <c r="B29" s="25" t="s">
        <v>440</v>
      </c>
      <c r="C29" s="25"/>
      <c r="D29" s="25"/>
      <c r="E29" s="25"/>
      <c r="F29" s="25"/>
      <c r="G29" s="25"/>
      <c r="H29" s="25"/>
      <c r="I29" s="25"/>
      <c r="J29" s="25"/>
      <c r="K29" s="34"/>
      <c r="L29" s="34"/>
      <c r="M29" s="34"/>
      <c r="N29" s="34"/>
      <c r="O29" s="34"/>
      <c r="P29" s="34"/>
      <c r="Q29" s="34"/>
      <c r="R29" s="34"/>
      <c r="S29" s="34"/>
    </row>
    <row r="30" spans="2:19" x14ac:dyDescent="0.3">
      <c r="B30" t="s">
        <v>436</v>
      </c>
      <c r="C30" s="17">
        <v>0.08</v>
      </c>
    </row>
    <row r="31" spans="2:19" x14ac:dyDescent="0.3">
      <c r="B31" t="s">
        <v>441</v>
      </c>
      <c r="C31">
        <v>10</v>
      </c>
    </row>
    <row r="32" spans="2:19" x14ac:dyDescent="0.3">
      <c r="B32" t="s">
        <v>442</v>
      </c>
      <c r="C32" s="35">
        <v>3000000</v>
      </c>
    </row>
    <row r="33" spans="2:19" x14ac:dyDescent="0.3">
      <c r="B33" s="2" t="s">
        <v>443</v>
      </c>
      <c r="C33" s="26">
        <f>PV(C30,C31,0,C32,0)</f>
        <v>-1389580.4642540528</v>
      </c>
    </row>
    <row r="36" spans="2:19" ht="76.2" customHeight="1" x14ac:dyDescent="0.3">
      <c r="B36" s="27" t="s">
        <v>445</v>
      </c>
      <c r="C36" s="27"/>
      <c r="D36" s="27"/>
      <c r="E36" s="27"/>
      <c r="F36" s="27"/>
      <c r="G36" s="27"/>
      <c r="H36" s="27"/>
      <c r="I36" s="27"/>
      <c r="J36" s="27"/>
      <c r="K36" s="41"/>
      <c r="L36" s="41"/>
      <c r="M36" s="41"/>
      <c r="N36" s="41"/>
      <c r="O36" s="41"/>
      <c r="P36" s="41"/>
      <c r="Q36" s="41"/>
      <c r="R36" s="41"/>
      <c r="S36" s="41"/>
    </row>
    <row r="37" spans="2:19" x14ac:dyDescent="0.3">
      <c r="B37" t="s">
        <v>446</v>
      </c>
      <c r="C37" s="17">
        <v>0.06</v>
      </c>
    </row>
    <row r="38" spans="2:19" x14ac:dyDescent="0.3">
      <c r="B38" t="s">
        <v>447</v>
      </c>
      <c r="C38" s="23">
        <f>C37/12</f>
        <v>5.0000000000000001E-3</v>
      </c>
    </row>
    <row r="39" spans="2:19" x14ac:dyDescent="0.3">
      <c r="B39" t="s">
        <v>441</v>
      </c>
      <c r="C39">
        <v>10</v>
      </c>
    </row>
    <row r="40" spans="2:19" x14ac:dyDescent="0.3">
      <c r="B40" t="s">
        <v>448</v>
      </c>
      <c r="C40">
        <f>C39*12</f>
        <v>120</v>
      </c>
    </row>
    <row r="41" spans="2:19" x14ac:dyDescent="0.3">
      <c r="B41" t="s">
        <v>442</v>
      </c>
      <c r="C41" s="35">
        <v>50000000</v>
      </c>
    </row>
    <row r="42" spans="2:19" x14ac:dyDescent="0.3">
      <c r="B42" s="2" t="s">
        <v>449</v>
      </c>
      <c r="C42" s="18">
        <f>PMT(C38,C40,0,C41,0)</f>
        <v>-305102.50970824721</v>
      </c>
    </row>
    <row r="44" spans="2:19" ht="100.8" customHeight="1" x14ac:dyDescent="0.3">
      <c r="B44" s="27" t="s">
        <v>450</v>
      </c>
      <c r="C44" s="27"/>
      <c r="D44" s="27"/>
      <c r="E44" s="27"/>
      <c r="F44" s="27"/>
      <c r="G44" s="27"/>
      <c r="H44" s="27"/>
      <c r="I44" s="27"/>
      <c r="J44" s="27"/>
      <c r="K44" s="41"/>
      <c r="L44" s="41"/>
      <c r="M44" s="41"/>
      <c r="N44" s="41"/>
      <c r="O44" s="41"/>
      <c r="P44" s="41"/>
      <c r="Q44" s="41"/>
      <c r="R44" s="41"/>
      <c r="S44" s="41"/>
    </row>
    <row r="45" spans="2:19" x14ac:dyDescent="0.3">
      <c r="B45" t="s">
        <v>451</v>
      </c>
      <c r="C45" s="35">
        <v>8000000</v>
      </c>
      <c r="D45" s="42">
        <v>37999000</v>
      </c>
    </row>
    <row r="46" spans="2:19" x14ac:dyDescent="0.3">
      <c r="B46" t="s">
        <v>441</v>
      </c>
      <c r="C46">
        <v>4</v>
      </c>
      <c r="D46">
        <v>2</v>
      </c>
    </row>
    <row r="47" spans="2:19" x14ac:dyDescent="0.3">
      <c r="B47" t="s">
        <v>448</v>
      </c>
      <c r="C47">
        <f>C46*12</f>
        <v>48</v>
      </c>
      <c r="D47">
        <v>24</v>
      </c>
    </row>
    <row r="48" spans="2:19" x14ac:dyDescent="0.3">
      <c r="B48" t="s">
        <v>452</v>
      </c>
      <c r="C48" s="35">
        <v>-200000</v>
      </c>
      <c r="D48" s="42">
        <v>-1547000</v>
      </c>
    </row>
    <row r="49" spans="2:11" x14ac:dyDescent="0.3">
      <c r="B49" t="s">
        <v>456</v>
      </c>
      <c r="C49" s="35">
        <f>C48*12</f>
        <v>-2400000</v>
      </c>
      <c r="D49" s="19">
        <f>D48*12</f>
        <v>-18564000</v>
      </c>
    </row>
    <row r="50" spans="2:11" x14ac:dyDescent="0.3">
      <c r="B50" t="s">
        <v>486</v>
      </c>
      <c r="C50" s="35"/>
      <c r="D50" s="42">
        <v>-7600000</v>
      </c>
    </row>
    <row r="51" spans="2:11" x14ac:dyDescent="0.3">
      <c r="B51" s="2" t="s">
        <v>453</v>
      </c>
      <c r="C51" s="22">
        <f>RATE(C46,C49,C45,0,0)</f>
        <v>7.713847295208355E-2</v>
      </c>
      <c r="D51" s="17">
        <f>RATE(D46,D49,D45+D50,0,0)</f>
        <v>0.1443323659447763</v>
      </c>
    </row>
    <row r="52" spans="2:11" x14ac:dyDescent="0.3">
      <c r="B52" s="2" t="s">
        <v>454</v>
      </c>
      <c r="C52" s="24">
        <f>C51/12</f>
        <v>6.4282060793402962E-3</v>
      </c>
      <c r="D52" s="24">
        <f>D51/12</f>
        <v>1.2027697162064692E-2</v>
      </c>
    </row>
    <row r="55" spans="2:11" ht="99" customHeight="1" x14ac:dyDescent="0.3">
      <c r="B55" s="27" t="s">
        <v>469</v>
      </c>
      <c r="C55" s="27"/>
      <c r="D55" s="27"/>
      <c r="E55" s="27"/>
      <c r="F55" s="27"/>
      <c r="G55" s="27"/>
      <c r="H55" s="27"/>
      <c r="I55" s="27"/>
      <c r="J55" s="27"/>
      <c r="K55" s="27"/>
    </row>
    <row r="56" spans="2:11" x14ac:dyDescent="0.3">
      <c r="B56" t="s">
        <v>470</v>
      </c>
      <c r="C56" s="17">
        <v>0.06</v>
      </c>
    </row>
    <row r="57" spans="2:11" x14ac:dyDescent="0.3">
      <c r="B57" t="s">
        <v>471</v>
      </c>
      <c r="C57">
        <v>4</v>
      </c>
    </row>
    <row r="58" spans="2:11" x14ac:dyDescent="0.3">
      <c r="B58" t="s">
        <v>472</v>
      </c>
      <c r="C58" s="35">
        <v>-1000000</v>
      </c>
    </row>
    <row r="59" spans="2:11" x14ac:dyDescent="0.3">
      <c r="B59" t="s">
        <v>473</v>
      </c>
      <c r="C59" s="35">
        <v>1200000</v>
      </c>
    </row>
    <row r="60" spans="2:11" ht="28.8" x14ac:dyDescent="0.3">
      <c r="B60" s="43" t="s">
        <v>485</v>
      </c>
      <c r="C60" s="37">
        <f>FV(C56,C57,0,C58,0)</f>
        <v>1262476.9600000004</v>
      </c>
    </row>
    <row r="61" spans="2:11" x14ac:dyDescent="0.3">
      <c r="B61" s="44" t="s">
        <v>474</v>
      </c>
      <c r="C61" s="37">
        <f>C59-C60</f>
        <v>-62476.960000000428</v>
      </c>
    </row>
  </sheetData>
  <mergeCells count="5">
    <mergeCell ref="B55:K55"/>
    <mergeCell ref="B29:J29"/>
    <mergeCell ref="B19:J19"/>
    <mergeCell ref="B36:J36"/>
    <mergeCell ref="B44:J4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D334-560B-4FD8-8FBE-4A4AC52402FA}">
  <dimension ref="B2:S61"/>
  <sheetViews>
    <sheetView topLeftCell="A41" zoomScale="115" zoomScaleNormal="115" workbookViewId="0">
      <selection activeCell="F49" sqref="F49"/>
    </sheetView>
  </sheetViews>
  <sheetFormatPr defaultRowHeight="14.4" x14ac:dyDescent="0.3"/>
  <cols>
    <col min="2" max="2" width="18.88671875" bestFit="1" customWidth="1"/>
    <col min="3" max="3" width="17.88671875" customWidth="1"/>
  </cols>
  <sheetData>
    <row r="2" spans="2:6" x14ac:dyDescent="0.3">
      <c r="B2" t="s">
        <v>432</v>
      </c>
      <c r="C2" t="s">
        <v>433</v>
      </c>
      <c r="E2" t="s">
        <v>434</v>
      </c>
      <c r="F2" s="17">
        <v>0.06</v>
      </c>
    </row>
    <row r="3" spans="2:6" x14ac:dyDescent="0.3">
      <c r="B3">
        <v>0</v>
      </c>
      <c r="C3" s="19">
        <v>-100000000</v>
      </c>
    </row>
    <row r="4" spans="2:6" x14ac:dyDescent="0.3">
      <c r="B4">
        <v>1</v>
      </c>
      <c r="C4" s="19">
        <v>20000000</v>
      </c>
    </row>
    <row r="5" spans="2:6" x14ac:dyDescent="0.3">
      <c r="B5">
        <v>2</v>
      </c>
      <c r="C5" s="19">
        <v>22000000</v>
      </c>
    </row>
    <row r="6" spans="2:6" x14ac:dyDescent="0.3">
      <c r="B6">
        <v>3</v>
      </c>
      <c r="C6" s="19">
        <f>C5*1.1</f>
        <v>24200000.000000004</v>
      </c>
    </row>
    <row r="7" spans="2:6" x14ac:dyDescent="0.3">
      <c r="B7">
        <v>4</v>
      </c>
      <c r="C7" s="19">
        <f>C6*1.1</f>
        <v>26620000.000000007</v>
      </c>
    </row>
    <row r="8" spans="2:6" x14ac:dyDescent="0.3">
      <c r="B8">
        <v>5</v>
      </c>
      <c r="C8" s="19">
        <f>C7*1.1</f>
        <v>29282000.000000011</v>
      </c>
    </row>
    <row r="9" spans="2:6" x14ac:dyDescent="0.3">
      <c r="B9" s="2" t="s">
        <v>431</v>
      </c>
      <c r="C9" s="19">
        <f>NPV(F2,C3:C8)</f>
        <v>1635264.1426951501</v>
      </c>
    </row>
    <row r="11" spans="2:6" x14ac:dyDescent="0.3">
      <c r="B11" t="s">
        <v>432</v>
      </c>
      <c r="C11" t="s">
        <v>433</v>
      </c>
    </row>
    <row r="12" spans="2:6" x14ac:dyDescent="0.3">
      <c r="B12">
        <v>0</v>
      </c>
      <c r="C12" s="19">
        <v>-100000000</v>
      </c>
    </row>
    <row r="13" spans="2:6" x14ac:dyDescent="0.3">
      <c r="B13">
        <v>1</v>
      </c>
      <c r="C13" s="19">
        <v>20000000</v>
      </c>
    </row>
    <row r="14" spans="2:6" x14ac:dyDescent="0.3">
      <c r="B14">
        <v>2</v>
      </c>
      <c r="C14" s="19">
        <v>20000000</v>
      </c>
    </row>
    <row r="15" spans="2:6" x14ac:dyDescent="0.3">
      <c r="B15">
        <v>3</v>
      </c>
      <c r="C15" s="19">
        <v>20000000</v>
      </c>
    </row>
    <row r="16" spans="2:6" x14ac:dyDescent="0.3">
      <c r="B16">
        <v>4</v>
      </c>
      <c r="C16" s="19">
        <v>20000000</v>
      </c>
    </row>
    <row r="17" spans="2:19" x14ac:dyDescent="0.3">
      <c r="B17">
        <v>5</v>
      </c>
      <c r="C17" s="19">
        <v>20000000</v>
      </c>
    </row>
    <row r="18" spans="2:19" x14ac:dyDescent="0.3">
      <c r="B18" s="2" t="s">
        <v>431</v>
      </c>
      <c r="C18" s="19">
        <f>NPV(F2,C12:C17)</f>
        <v>-14861060.649703523</v>
      </c>
    </row>
    <row r="19" spans="2:19" ht="71.400000000000006" customHeight="1" x14ac:dyDescent="0.3">
      <c r="B19" s="32" t="s">
        <v>435</v>
      </c>
      <c r="C19" s="32"/>
      <c r="D19" s="32"/>
      <c r="E19" s="32"/>
      <c r="F19" s="32"/>
      <c r="G19" s="32"/>
      <c r="H19" s="32"/>
      <c r="I19" s="32"/>
      <c r="J19" s="32"/>
      <c r="K19" s="32"/>
      <c r="L19" s="33"/>
      <c r="M19" s="33"/>
      <c r="N19" s="33"/>
      <c r="O19" s="33"/>
      <c r="P19" s="33"/>
      <c r="Q19" s="33"/>
      <c r="R19" s="33"/>
      <c r="S19" s="33"/>
    </row>
    <row r="22" spans="2:19" x14ac:dyDescent="0.3">
      <c r="B22" t="s">
        <v>455</v>
      </c>
      <c r="C22" s="17">
        <v>0.05</v>
      </c>
    </row>
    <row r="23" spans="2:19" x14ac:dyDescent="0.3">
      <c r="B23" t="s">
        <v>437</v>
      </c>
      <c r="C23" s="20">
        <v>10000</v>
      </c>
    </row>
    <row r="24" spans="2:19" x14ac:dyDescent="0.3">
      <c r="B24" t="s">
        <v>438</v>
      </c>
      <c r="C24" s="20">
        <v>200</v>
      </c>
    </row>
    <row r="25" spans="2:19" x14ac:dyDescent="0.3">
      <c r="B25" t="s">
        <v>439</v>
      </c>
      <c r="C25">
        <v>10</v>
      </c>
    </row>
    <row r="26" spans="2:19" x14ac:dyDescent="0.3">
      <c r="B26" s="2" t="s">
        <v>444</v>
      </c>
      <c r="C26" s="21">
        <f>FV(C22,C25,-C24,-C23,0)</f>
        <v>18804.524774884183</v>
      </c>
    </row>
    <row r="29" spans="2:19" ht="82.8" customHeight="1" x14ac:dyDescent="0.45">
      <c r="B29" s="27" t="s">
        <v>440</v>
      </c>
      <c r="C29" s="27"/>
      <c r="D29" s="27"/>
      <c r="E29" s="27"/>
      <c r="F29" s="27"/>
      <c r="G29" s="27"/>
      <c r="H29" s="27"/>
      <c r="I29" s="27"/>
      <c r="J29" s="27"/>
      <c r="K29" s="27"/>
      <c r="L29" s="34"/>
      <c r="M29" s="34"/>
      <c r="N29" s="34"/>
      <c r="O29" s="34"/>
      <c r="P29" s="34"/>
      <c r="Q29" s="34"/>
      <c r="R29" s="34"/>
      <c r="S29" s="34"/>
    </row>
    <row r="30" spans="2:19" x14ac:dyDescent="0.3">
      <c r="B30" t="s">
        <v>436</v>
      </c>
      <c r="C30" s="17">
        <v>0.08</v>
      </c>
    </row>
    <row r="31" spans="2:19" x14ac:dyDescent="0.3">
      <c r="B31" t="s">
        <v>441</v>
      </c>
      <c r="C31">
        <v>10</v>
      </c>
    </row>
    <row r="32" spans="2:19" x14ac:dyDescent="0.3">
      <c r="B32" t="s">
        <v>442</v>
      </c>
      <c r="C32" s="20">
        <v>3000000</v>
      </c>
    </row>
    <row r="33" spans="2:19" x14ac:dyDescent="0.3">
      <c r="B33" s="2" t="s">
        <v>443</v>
      </c>
      <c r="C33" s="18">
        <f>PV(C30,C31,0,C32,0)</f>
        <v>-1389580.4642540528</v>
      </c>
    </row>
    <row r="36" spans="2:19" ht="93.6" customHeight="1" x14ac:dyDescent="0.45">
      <c r="B36" s="27" t="s">
        <v>445</v>
      </c>
      <c r="C36" s="27"/>
      <c r="D36" s="27"/>
      <c r="E36" s="27"/>
      <c r="F36" s="27"/>
      <c r="G36" s="27"/>
      <c r="H36" s="27"/>
      <c r="I36" s="27"/>
      <c r="J36" s="27"/>
      <c r="K36" s="27"/>
      <c r="L36" s="34"/>
      <c r="M36" s="34"/>
      <c r="N36" s="34"/>
      <c r="O36" s="34"/>
      <c r="P36" s="34"/>
      <c r="Q36" s="34"/>
      <c r="R36" s="34"/>
      <c r="S36" s="34"/>
    </row>
    <row r="37" spans="2:19" x14ac:dyDescent="0.3">
      <c r="B37" t="s">
        <v>446</v>
      </c>
      <c r="C37" s="17">
        <v>0.1</v>
      </c>
    </row>
    <row r="38" spans="2:19" x14ac:dyDescent="0.3">
      <c r="B38" t="s">
        <v>447</v>
      </c>
      <c r="C38" s="23">
        <f>C37/12</f>
        <v>8.3333333333333332E-3</v>
      </c>
    </row>
    <row r="39" spans="2:19" x14ac:dyDescent="0.3">
      <c r="B39" t="s">
        <v>441</v>
      </c>
      <c r="C39">
        <v>10</v>
      </c>
    </row>
    <row r="40" spans="2:19" x14ac:dyDescent="0.3">
      <c r="B40" t="s">
        <v>448</v>
      </c>
      <c r="C40">
        <f>C39*12</f>
        <v>120</v>
      </c>
    </row>
    <row r="41" spans="2:19" x14ac:dyDescent="0.3">
      <c r="B41" t="s">
        <v>442</v>
      </c>
      <c r="C41" s="20">
        <v>50000000</v>
      </c>
    </row>
    <row r="42" spans="2:19" x14ac:dyDescent="0.3">
      <c r="B42" s="2" t="s">
        <v>449</v>
      </c>
      <c r="C42" s="18">
        <f>PMT(C38,C40,0,C41,0)</f>
        <v>-244087.01774214159</v>
      </c>
    </row>
    <row r="44" spans="2:19" ht="97.2" customHeight="1" x14ac:dyDescent="0.45">
      <c r="B44" s="27" t="s">
        <v>450</v>
      </c>
      <c r="C44" s="27"/>
      <c r="D44" s="27"/>
      <c r="E44" s="27"/>
      <c r="F44" s="27"/>
      <c r="G44" s="27"/>
      <c r="H44" s="27"/>
      <c r="I44" s="27"/>
      <c r="J44" s="27"/>
      <c r="K44" s="27"/>
      <c r="L44" s="34"/>
      <c r="M44" s="34"/>
      <c r="N44" s="34"/>
      <c r="O44" s="34"/>
      <c r="P44" s="34"/>
      <c r="Q44" s="34"/>
      <c r="R44" s="34"/>
      <c r="S44" s="34"/>
    </row>
    <row r="45" spans="2:19" x14ac:dyDescent="0.3">
      <c r="B45" t="s">
        <v>451</v>
      </c>
      <c r="C45" s="20">
        <v>8000000</v>
      </c>
    </row>
    <row r="46" spans="2:19" x14ac:dyDescent="0.3">
      <c r="B46" t="s">
        <v>441</v>
      </c>
      <c r="C46">
        <v>4</v>
      </c>
    </row>
    <row r="47" spans="2:19" x14ac:dyDescent="0.3">
      <c r="B47" t="s">
        <v>448</v>
      </c>
    </row>
    <row r="48" spans="2:19" x14ac:dyDescent="0.3">
      <c r="B48" t="s">
        <v>452</v>
      </c>
      <c r="C48" s="20">
        <v>200000</v>
      </c>
    </row>
    <row r="49" spans="2:11" x14ac:dyDescent="0.3">
      <c r="B49" t="s">
        <v>456</v>
      </c>
      <c r="C49" s="20">
        <f>C48*12</f>
        <v>2400000</v>
      </c>
    </row>
    <row r="50" spans="2:11" x14ac:dyDescent="0.3">
      <c r="B50" s="2" t="s">
        <v>453</v>
      </c>
      <c r="C50" s="22">
        <f>RATE(C46,-C49,C45,0,0)</f>
        <v>7.713847295208355E-2</v>
      </c>
    </row>
    <row r="51" spans="2:11" x14ac:dyDescent="0.3">
      <c r="B51" s="2" t="s">
        <v>454</v>
      </c>
      <c r="C51" s="24">
        <f>C50/12</f>
        <v>6.4282060793402962E-3</v>
      </c>
    </row>
    <row r="54" spans="2:11" ht="101.4" customHeight="1" x14ac:dyDescent="0.3">
      <c r="B54" s="27" t="s">
        <v>469</v>
      </c>
      <c r="C54" s="27"/>
      <c r="D54" s="27"/>
      <c r="E54" s="27"/>
      <c r="F54" s="27"/>
      <c r="G54" s="27"/>
      <c r="H54" s="27"/>
      <c r="I54" s="27"/>
      <c r="J54" s="27"/>
      <c r="K54" s="27"/>
    </row>
    <row r="56" spans="2:11" x14ac:dyDescent="0.3">
      <c r="B56" t="s">
        <v>470</v>
      </c>
      <c r="C56" s="17">
        <v>0.06</v>
      </c>
    </row>
    <row r="57" spans="2:11" x14ac:dyDescent="0.3">
      <c r="B57" t="s">
        <v>471</v>
      </c>
      <c r="C57">
        <v>4</v>
      </c>
    </row>
    <row r="58" spans="2:11" x14ac:dyDescent="0.3">
      <c r="B58" t="s">
        <v>472</v>
      </c>
      <c r="C58" s="35">
        <v>-1000000</v>
      </c>
    </row>
    <row r="59" spans="2:11" x14ac:dyDescent="0.3">
      <c r="B59" t="s">
        <v>473</v>
      </c>
      <c r="C59" s="35">
        <v>1200000</v>
      </c>
    </row>
    <row r="60" spans="2:11" ht="28.8" x14ac:dyDescent="0.3">
      <c r="B60" s="36" t="s">
        <v>475</v>
      </c>
      <c r="C60" s="37">
        <f>FV(C56,C57,0,C58,0)</f>
        <v>1262476.9600000004</v>
      </c>
    </row>
    <row r="61" spans="2:11" x14ac:dyDescent="0.3">
      <c r="B61" t="s">
        <v>474</v>
      </c>
      <c r="C61" s="18">
        <f>C59-C60</f>
        <v>-62476.960000000428</v>
      </c>
    </row>
  </sheetData>
  <mergeCells count="5">
    <mergeCell ref="B54:K54"/>
    <mergeCell ref="B19:K19"/>
    <mergeCell ref="B29:K29"/>
    <mergeCell ref="B36:K36"/>
    <mergeCell ref="B44:K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database</vt:lpstr>
      <vt:lpstr>vlookup</vt:lpstr>
      <vt:lpstr>hlookup</vt:lpstr>
      <vt:lpstr>lookup</vt:lpstr>
      <vt:lpstr>pivot_table</vt:lpstr>
      <vt:lpstr>ADVANCED EXCEL FUNCTIONS</vt:lpstr>
      <vt:lpstr>FINANCIAL-BEFORE</vt:lpstr>
      <vt:lpstr>FINANCIAL-AFTER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Vinh Hoang</dc:creator>
  <cp:keywords/>
  <dc:description/>
  <cp:lastModifiedBy>Vinh Hoang Nhu</cp:lastModifiedBy>
  <cp:revision/>
  <dcterms:created xsi:type="dcterms:W3CDTF">2022-11-25T05:57:13Z</dcterms:created>
  <dcterms:modified xsi:type="dcterms:W3CDTF">2023-12-05T08:16:34Z</dcterms:modified>
  <cp:category/>
  <cp:contentStatus/>
</cp:coreProperties>
</file>