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UMASS AMHERST\My Courses\SOP Summer\Seeking Alpha\Scrape Financial Data\"/>
    </mc:Choice>
  </mc:AlternateContent>
  <xr:revisionPtr revIDLastSave="0" documentId="13_ncr:1_{8E90289A-5273-484D-B324-7508F5D26446}" xr6:coauthVersionLast="47" xr6:coauthVersionMax="47" xr10:uidLastSave="{00000000-0000-0000-0000-000000000000}"/>
  <bookViews>
    <workbookView xWindow="-108" yWindow="-108" windowWidth="23256" windowHeight="13896" tabRatio="748" xr2:uid="{00000000-000D-0000-FFFF-FFFF00000000}"/>
  </bookViews>
  <sheets>
    <sheet name="VMI Calculator (10 years)" sheetId="4" r:id="rId1"/>
    <sheet name="VMI Calculator (20 years)" sheetId="19" r:id="rId2"/>
    <sheet name="Discounted Earnings Per Share" sheetId="2" state="veryHidden" r:id="rId3"/>
    <sheet name="Discounted Cash Flow" sheetId="1" state="veryHidden" r:id="rId4"/>
    <sheet name="VMI Dashboard" sheetId="16" r:id="rId5"/>
    <sheet name="VMI Portfolio Manager" sheetId="17" r:id="rId6"/>
    <sheet name="Custom Parameters" sheetId="18" r:id="rId7"/>
  </sheets>
  <definedNames>
    <definedName name="_xlnm._FilterDatabase" localSheetId="5" hidden="1">'VMI Portfolio Manager'!$B$8:$AH$30</definedName>
    <definedName name="CIQWBGuid" hidden="1">"7c1756cb-7794-4f61-a250-ed9ab8f0743f"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43860.301412037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'VMI Calculator (10 years)'!$B$2:$U$49</definedName>
    <definedName name="_xlnm.Print_Area" localSheetId="1">'VMI Calculator (20 years)'!$B$2:$U$59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4" l="1"/>
  <c r="L24" i="19"/>
  <c r="L24" i="4"/>
  <c r="F28" i="4" s="1"/>
  <c r="G29" i="4"/>
  <c r="E54" i="4"/>
  <c r="Q16" i="19"/>
  <c r="Q16" i="4"/>
  <c r="W54" i="16" l="1"/>
  <c r="X54" i="16"/>
  <c r="W55" i="16"/>
  <c r="X55" i="16"/>
  <c r="R54" i="16"/>
  <c r="S54" i="16"/>
  <c r="R55" i="16"/>
  <c r="S55" i="16"/>
  <c r="M54" i="16"/>
  <c r="N54" i="16"/>
  <c r="M55" i="16"/>
  <c r="N55" i="16"/>
  <c r="H55" i="16"/>
  <c r="I55" i="16"/>
  <c r="H54" i="16"/>
  <c r="I54" i="16"/>
  <c r="C54" i="16"/>
  <c r="D54" i="16"/>
  <c r="C55" i="16"/>
  <c r="D55" i="16"/>
  <c r="S11" i="17" l="1"/>
  <c r="F16" i="4"/>
  <c r="F14" i="4"/>
  <c r="F12" i="4"/>
  <c r="F12" i="19"/>
  <c r="F14" i="19"/>
  <c r="F16" i="19"/>
  <c r="M8" i="19" l="1"/>
  <c r="M10" i="19"/>
  <c r="M12" i="19"/>
  <c r="N12" i="19"/>
  <c r="M14" i="19"/>
  <c r="N14" i="19"/>
  <c r="M16" i="19"/>
  <c r="M18" i="19"/>
  <c r="J8" i="19"/>
  <c r="C29" i="19" l="1"/>
  <c r="L22" i="4"/>
  <c r="M18" i="4"/>
  <c r="M16" i="4"/>
  <c r="M14" i="4"/>
  <c r="M12" i="4"/>
  <c r="M10" i="4"/>
  <c r="M8" i="4"/>
  <c r="S16" i="4"/>
  <c r="L22" i="19" l="1"/>
  <c r="S16" i="19"/>
  <c r="C34" i="19"/>
  <c r="C22" i="19"/>
  <c r="C20" i="19"/>
  <c r="C18" i="19"/>
  <c r="B2" i="19"/>
  <c r="J8" i="4"/>
  <c r="C29" i="4"/>
  <c r="C20" i="4"/>
  <c r="C18" i="4"/>
  <c r="B2" i="4"/>
  <c r="S9" i="17" l="1"/>
  <c r="S10" i="17"/>
  <c r="S12" i="17"/>
  <c r="S13" i="17"/>
  <c r="S14" i="17"/>
  <c r="T14" i="17" s="1"/>
  <c r="S15" i="17"/>
  <c r="S16" i="17"/>
  <c r="T16" i="17" s="1"/>
  <c r="S17" i="17"/>
  <c r="T17" i="17" s="1"/>
  <c r="S18" i="17"/>
  <c r="T18" i="17" s="1"/>
  <c r="S19" i="17"/>
  <c r="T19" i="17" s="1"/>
  <c r="S20" i="17"/>
  <c r="S21" i="17"/>
  <c r="T21" i="17" s="1"/>
  <c r="S22" i="17"/>
  <c r="S23" i="17"/>
  <c r="S24" i="17"/>
  <c r="S25" i="17"/>
  <c r="S26" i="17"/>
  <c r="T26" i="17" s="1"/>
  <c r="S27" i="17"/>
  <c r="S28" i="17"/>
  <c r="W9" i="17"/>
  <c r="X9" i="17" s="1"/>
  <c r="W10" i="17"/>
  <c r="X10" i="17" s="1"/>
  <c r="D53" i="16" s="1"/>
  <c r="W11" i="17"/>
  <c r="X11" i="17" s="1"/>
  <c r="S50" i="16" s="1"/>
  <c r="W12" i="17"/>
  <c r="X12" i="17" s="1"/>
  <c r="W13" i="17"/>
  <c r="X13" i="17" s="1"/>
  <c r="W14" i="17"/>
  <c r="X14" i="17" s="1"/>
  <c r="W15" i="17"/>
  <c r="X15" i="17" s="1"/>
  <c r="W16" i="17"/>
  <c r="X16" i="17" s="1"/>
  <c r="W17" i="17"/>
  <c r="X17" i="17"/>
  <c r="W18" i="17"/>
  <c r="X18" i="17" s="1"/>
  <c r="W19" i="17"/>
  <c r="X19" i="17" s="1"/>
  <c r="W20" i="17"/>
  <c r="X20" i="17" s="1"/>
  <c r="W21" i="17"/>
  <c r="X21" i="17" s="1"/>
  <c r="W22" i="17"/>
  <c r="X22" i="17" s="1"/>
  <c r="W23" i="17"/>
  <c r="X23" i="17" s="1"/>
  <c r="W24" i="17"/>
  <c r="X24" i="17" s="1"/>
  <c r="W25" i="17"/>
  <c r="X25" i="17" s="1"/>
  <c r="W26" i="17"/>
  <c r="X26" i="17" s="1"/>
  <c r="W27" i="17"/>
  <c r="X27" i="17" s="1"/>
  <c r="W28" i="17"/>
  <c r="X28" i="17" s="1"/>
  <c r="Q9" i="17"/>
  <c r="R9" i="17" s="1"/>
  <c r="U9" i="17"/>
  <c r="AA9" i="17"/>
  <c r="AB9" i="17" s="1"/>
  <c r="Q10" i="17"/>
  <c r="R10" i="17" s="1"/>
  <c r="U10" i="17"/>
  <c r="AA10" i="17"/>
  <c r="AB10" i="17" s="1"/>
  <c r="Q11" i="17"/>
  <c r="R11" i="17" s="1"/>
  <c r="T11" i="17" s="1"/>
  <c r="U11" i="17"/>
  <c r="AA11" i="17"/>
  <c r="Q12" i="17"/>
  <c r="R12" i="17" s="1"/>
  <c r="U12" i="17"/>
  <c r="AA12" i="17"/>
  <c r="Q13" i="17"/>
  <c r="R13" i="17" s="1"/>
  <c r="Z13" i="17" s="1"/>
  <c r="U13" i="17"/>
  <c r="V13" i="17" s="1"/>
  <c r="AA13" i="17"/>
  <c r="Q14" i="17"/>
  <c r="R14" i="17" s="1"/>
  <c r="Z14" i="17" s="1"/>
  <c r="U14" i="17"/>
  <c r="V14" i="17" s="1"/>
  <c r="AA14" i="17"/>
  <c r="Q15" i="17"/>
  <c r="R15" i="17" s="1"/>
  <c r="U15" i="17"/>
  <c r="AA15" i="17"/>
  <c r="Q16" i="17"/>
  <c r="R16" i="17" s="1"/>
  <c r="U16" i="17"/>
  <c r="V16" i="17" s="1"/>
  <c r="AA16" i="17"/>
  <c r="Q17" i="17"/>
  <c r="R17" i="17" s="1"/>
  <c r="U17" i="17"/>
  <c r="V17" i="17" s="1"/>
  <c r="AA17" i="17"/>
  <c r="Q18" i="17"/>
  <c r="R18" i="17" s="1"/>
  <c r="U18" i="17"/>
  <c r="V18" i="17"/>
  <c r="AA18" i="17"/>
  <c r="AB18" i="17" s="1"/>
  <c r="Q19" i="17"/>
  <c r="R19" i="17" s="1"/>
  <c r="U19" i="17"/>
  <c r="V19" i="17" s="1"/>
  <c r="AA19" i="17"/>
  <c r="Q20" i="17"/>
  <c r="R20" i="17"/>
  <c r="U20" i="17"/>
  <c r="V20" i="17" s="1"/>
  <c r="AA20" i="17"/>
  <c r="AB20" i="17" s="1"/>
  <c r="Q21" i="17"/>
  <c r="R21" i="17" s="1"/>
  <c r="Z21" i="17" s="1"/>
  <c r="U21" i="17"/>
  <c r="V21" i="17" s="1"/>
  <c r="AA21" i="17"/>
  <c r="AB21" i="17" s="1"/>
  <c r="Q22" i="17"/>
  <c r="R22" i="17"/>
  <c r="T22" i="17"/>
  <c r="U22" i="17"/>
  <c r="V22" i="17" s="1"/>
  <c r="AA22" i="17"/>
  <c r="Q23" i="17"/>
  <c r="R23" i="17" s="1"/>
  <c r="T23" i="17"/>
  <c r="U23" i="17"/>
  <c r="V23" i="17" s="1"/>
  <c r="AA23" i="17"/>
  <c r="AB23" i="17" s="1"/>
  <c r="Q24" i="17"/>
  <c r="R24" i="17" s="1"/>
  <c r="U24" i="17"/>
  <c r="V24" i="17" s="1"/>
  <c r="AA24" i="17"/>
  <c r="Q25" i="17"/>
  <c r="R25" i="17" s="1"/>
  <c r="T25" i="17"/>
  <c r="U25" i="17"/>
  <c r="V25" i="17"/>
  <c r="AA25" i="17"/>
  <c r="AB25" i="17" s="1"/>
  <c r="Q26" i="17"/>
  <c r="R26" i="17"/>
  <c r="U26" i="17"/>
  <c r="V26" i="17" s="1"/>
  <c r="AA26" i="17"/>
  <c r="AB26" i="17" s="1"/>
  <c r="Q27" i="17"/>
  <c r="R27" i="17" s="1"/>
  <c r="T27" i="17"/>
  <c r="U27" i="17"/>
  <c r="AA27" i="17"/>
  <c r="AB27" i="17" s="1"/>
  <c r="Q28" i="17"/>
  <c r="R28" i="17" s="1"/>
  <c r="T28" i="17"/>
  <c r="U28" i="17"/>
  <c r="V28" i="17" s="1"/>
  <c r="AA28" i="17"/>
  <c r="C48" i="16"/>
  <c r="H48" i="16"/>
  <c r="I49" i="16"/>
  <c r="I50" i="16"/>
  <c r="I51" i="16"/>
  <c r="I53" i="16"/>
  <c r="M48" i="16"/>
  <c r="N48" i="16"/>
  <c r="N52" i="16"/>
  <c r="N53" i="16"/>
  <c r="R48" i="16"/>
  <c r="S48" i="16"/>
  <c r="S49" i="16"/>
  <c r="S51" i="16"/>
  <c r="S52" i="16"/>
  <c r="S53" i="16"/>
  <c r="W48" i="16"/>
  <c r="X49" i="16"/>
  <c r="X50" i="16"/>
  <c r="X52" i="16"/>
  <c r="X53" i="16"/>
  <c r="C49" i="16"/>
  <c r="H49" i="16"/>
  <c r="M49" i="16"/>
  <c r="R49" i="16"/>
  <c r="W49" i="16"/>
  <c r="C50" i="16"/>
  <c r="H50" i="16"/>
  <c r="M50" i="16"/>
  <c r="R50" i="16"/>
  <c r="W50" i="16"/>
  <c r="C51" i="16"/>
  <c r="H51" i="16"/>
  <c r="M51" i="16"/>
  <c r="R51" i="16"/>
  <c r="W51" i="16"/>
  <c r="C52" i="16"/>
  <c r="H52" i="16"/>
  <c r="M52" i="16"/>
  <c r="R52" i="16"/>
  <c r="W52" i="16"/>
  <c r="C53" i="16"/>
  <c r="H53" i="16"/>
  <c r="M53" i="16"/>
  <c r="R53" i="16"/>
  <c r="W53" i="16"/>
  <c r="C110" i="16"/>
  <c r="C111" i="16"/>
  <c r="C112" i="16"/>
  <c r="C113" i="16"/>
  <c r="C8" i="1"/>
  <c r="C9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C17" i="1"/>
  <c r="B7" i="2"/>
  <c r="B8" i="2"/>
  <c r="B9" i="2"/>
  <c r="B10" i="2"/>
  <c r="C10" i="2" s="1"/>
  <c r="D10" i="2" s="1"/>
  <c r="E10" i="2" s="1"/>
  <c r="F10" i="2" s="1"/>
  <c r="G10" i="2" s="1"/>
  <c r="H10" i="2" s="1"/>
  <c r="I10" i="2" s="1"/>
  <c r="J10" i="2" s="1"/>
  <c r="K10" i="2" s="1"/>
  <c r="B11" i="2"/>
  <c r="B13" i="2" s="1"/>
  <c r="B15" i="2" s="1"/>
  <c r="B12" i="2"/>
  <c r="C12" i="2" s="1"/>
  <c r="D12" i="2" s="1"/>
  <c r="E12" i="2" s="1"/>
  <c r="F12" i="2" s="1"/>
  <c r="G12" i="2" s="1"/>
  <c r="H12" i="2" s="1"/>
  <c r="I12" i="2" s="1"/>
  <c r="J12" i="2" s="1"/>
  <c r="K12" i="2" s="1"/>
  <c r="F29" i="19"/>
  <c r="G29" i="19" s="1"/>
  <c r="H29" i="19" s="1"/>
  <c r="F30" i="19"/>
  <c r="F28" i="19"/>
  <c r="G28" i="19"/>
  <c r="H28" i="19"/>
  <c r="I28" i="19"/>
  <c r="J28" i="19"/>
  <c r="K28" i="19"/>
  <c r="L28" i="19"/>
  <c r="M28" i="19"/>
  <c r="N28" i="19"/>
  <c r="O28" i="19"/>
  <c r="F33" i="19"/>
  <c r="G33" i="19"/>
  <c r="H33" i="19"/>
  <c r="I33" i="19"/>
  <c r="J33" i="19"/>
  <c r="K33" i="19"/>
  <c r="L33" i="19"/>
  <c r="M33" i="19"/>
  <c r="N33" i="19"/>
  <c r="O33" i="19"/>
  <c r="E59" i="19"/>
  <c r="L59" i="19"/>
  <c r="E60" i="19"/>
  <c r="L60" i="19"/>
  <c r="E61" i="19"/>
  <c r="L61" i="19"/>
  <c r="E62" i="19"/>
  <c r="L62" i="19"/>
  <c r="E63" i="19"/>
  <c r="L63" i="19"/>
  <c r="E64" i="19"/>
  <c r="L64" i="19"/>
  <c r="E65" i="19"/>
  <c r="L65" i="19"/>
  <c r="E66" i="19"/>
  <c r="L66" i="19"/>
  <c r="F29" i="4"/>
  <c r="F30" i="4"/>
  <c r="G30" i="4" s="1"/>
  <c r="H30" i="4" s="1"/>
  <c r="I30" i="4" s="1"/>
  <c r="J30" i="4" s="1"/>
  <c r="K30" i="4" s="1"/>
  <c r="L30" i="4" s="1"/>
  <c r="M30" i="4" s="1"/>
  <c r="N30" i="4" s="1"/>
  <c r="O30" i="4" s="1"/>
  <c r="C7" i="1"/>
  <c r="N12" i="4"/>
  <c r="N14" i="4"/>
  <c r="G28" i="4"/>
  <c r="H28" i="4"/>
  <c r="I28" i="4"/>
  <c r="J28" i="4"/>
  <c r="K28" i="4"/>
  <c r="L28" i="4"/>
  <c r="M28" i="4"/>
  <c r="N28" i="4"/>
  <c r="O28" i="4"/>
  <c r="L54" i="4"/>
  <c r="E55" i="4"/>
  <c r="L55" i="4"/>
  <c r="E56" i="4"/>
  <c r="L56" i="4"/>
  <c r="E57" i="4"/>
  <c r="L57" i="4"/>
  <c r="E58" i="4"/>
  <c r="L58" i="4"/>
  <c r="E59" i="4"/>
  <c r="L59" i="4"/>
  <c r="E60" i="4"/>
  <c r="L60" i="4"/>
  <c r="E61" i="4"/>
  <c r="L61" i="4"/>
  <c r="T12" i="17" l="1"/>
  <c r="X48" i="16"/>
  <c r="C114" i="16"/>
  <c r="AB12" i="17"/>
  <c r="AC12" i="17" s="1"/>
  <c r="M56" i="16"/>
  <c r="Z24" i="17"/>
  <c r="I52" i="16"/>
  <c r="D52" i="16"/>
  <c r="T24" i="17"/>
  <c r="Z15" i="17"/>
  <c r="AB15" i="17"/>
  <c r="T15" i="17"/>
  <c r="AB24" i="17"/>
  <c r="AC24" i="17" s="1"/>
  <c r="C56" i="16"/>
  <c r="T20" i="17"/>
  <c r="Z20" i="17"/>
  <c r="AC28" i="17"/>
  <c r="Z26" i="17"/>
  <c r="Z18" i="17"/>
  <c r="AB13" i="17"/>
  <c r="AC16" i="17"/>
  <c r="AB19" i="17"/>
  <c r="AB17" i="17"/>
  <c r="V15" i="17"/>
  <c r="T13" i="17"/>
  <c r="V27" i="17"/>
  <c r="Z27" i="17"/>
  <c r="Z25" i="17"/>
  <c r="AB16" i="17"/>
  <c r="AB14" i="17"/>
  <c r="Z19" i="17"/>
  <c r="AC18" i="17"/>
  <c r="AB28" i="17"/>
  <c r="AB22" i="17"/>
  <c r="AC22" i="17" s="1"/>
  <c r="V12" i="17"/>
  <c r="X51" i="16"/>
  <c r="D113" i="16"/>
  <c r="Z12" i="17"/>
  <c r="D112" i="16"/>
  <c r="V9" i="17"/>
  <c r="V11" i="17"/>
  <c r="W56" i="16"/>
  <c r="S56" i="16"/>
  <c r="T54" i="16" s="1"/>
  <c r="H56" i="16"/>
  <c r="R56" i="16"/>
  <c r="G31" i="4"/>
  <c r="B13" i="1"/>
  <c r="C13" i="1" s="1"/>
  <c r="F31" i="19"/>
  <c r="F31" i="4"/>
  <c r="Z11" i="17"/>
  <c r="AC10" i="17"/>
  <c r="Z23" i="17"/>
  <c r="AC23" i="17"/>
  <c r="D51" i="16"/>
  <c r="N51" i="16"/>
  <c r="I29" i="19"/>
  <c r="N49" i="16"/>
  <c r="D49" i="16"/>
  <c r="D111" i="16"/>
  <c r="Z9" i="17"/>
  <c r="R29" i="17"/>
  <c r="AC9" i="17"/>
  <c r="T9" i="17"/>
  <c r="Z17" i="17"/>
  <c r="AC17" i="17"/>
  <c r="X29" i="17"/>
  <c r="I48" i="16"/>
  <c r="D48" i="16"/>
  <c r="D110" i="16"/>
  <c r="AB11" i="17"/>
  <c r="AC11" i="17" s="1"/>
  <c r="N50" i="16"/>
  <c r="D50" i="16"/>
  <c r="Z28" i="17"/>
  <c r="Z22" i="17"/>
  <c r="Z16" i="17"/>
  <c r="Z10" i="17"/>
  <c r="G30" i="19"/>
  <c r="C11" i="2"/>
  <c r="V10" i="17"/>
  <c r="S29" i="17"/>
  <c r="AC25" i="17"/>
  <c r="AC19" i="17"/>
  <c r="AC13" i="17"/>
  <c r="T10" i="17"/>
  <c r="AC26" i="17"/>
  <c r="AC20" i="17"/>
  <c r="AC14" i="17"/>
  <c r="AA29" i="17"/>
  <c r="AC27" i="17"/>
  <c r="AC21" i="17"/>
  <c r="AC15" i="17"/>
  <c r="H29" i="4"/>
  <c r="T53" i="16" l="1"/>
  <c r="T55" i="16"/>
  <c r="X56" i="16"/>
  <c r="Y54" i="16" s="1"/>
  <c r="I56" i="16"/>
  <c r="T50" i="16"/>
  <c r="T51" i="16"/>
  <c r="T49" i="16"/>
  <c r="T48" i="16"/>
  <c r="T52" i="16"/>
  <c r="B15" i="1"/>
  <c r="D114" i="16"/>
  <c r="J29" i="19"/>
  <c r="D56" i="16"/>
  <c r="H31" i="4"/>
  <c r="I29" i="4"/>
  <c r="Y14" i="17"/>
  <c r="Y20" i="17"/>
  <c r="Y26" i="17"/>
  <c r="D4" i="17"/>
  <c r="D5" i="17" s="1"/>
  <c r="Y13" i="17"/>
  <c r="Y19" i="17"/>
  <c r="Y25" i="17"/>
  <c r="Y16" i="17"/>
  <c r="Y28" i="17"/>
  <c r="Y22" i="17"/>
  <c r="Y12" i="17"/>
  <c r="Y18" i="17"/>
  <c r="Y24" i="17"/>
  <c r="Y11" i="17"/>
  <c r="Y17" i="17"/>
  <c r="Y23" i="17"/>
  <c r="Y10" i="17"/>
  <c r="Y9" i="17"/>
  <c r="Y15" i="17"/>
  <c r="Y21" i="17"/>
  <c r="Y27" i="17"/>
  <c r="N56" i="16"/>
  <c r="D13" i="1"/>
  <c r="C15" i="1"/>
  <c r="C13" i="2"/>
  <c r="D11" i="2"/>
  <c r="G31" i="19"/>
  <c r="H30" i="19"/>
  <c r="Y52" i="16" l="1"/>
  <c r="Y55" i="16"/>
  <c r="O55" i="16"/>
  <c r="O54" i="16"/>
  <c r="J54" i="16"/>
  <c r="J55" i="16"/>
  <c r="E55" i="16"/>
  <c r="E54" i="16"/>
  <c r="J50" i="16"/>
  <c r="Y48" i="16"/>
  <c r="Y53" i="16"/>
  <c r="Y50" i="16"/>
  <c r="Y49" i="16"/>
  <c r="Y51" i="16"/>
  <c r="J51" i="16"/>
  <c r="J52" i="16"/>
  <c r="J53" i="16"/>
  <c r="J48" i="16"/>
  <c r="J49" i="16"/>
  <c r="T56" i="16"/>
  <c r="E53" i="16"/>
  <c r="E48" i="16"/>
  <c r="E52" i="16"/>
  <c r="E51" i="16"/>
  <c r="E50" i="16"/>
  <c r="E49" i="16"/>
  <c r="I31" i="4"/>
  <c r="J29" i="4"/>
  <c r="E111" i="16"/>
  <c r="E112" i="16"/>
  <c r="E113" i="16"/>
  <c r="E110" i="16"/>
  <c r="O49" i="16"/>
  <c r="O53" i="16"/>
  <c r="O52" i="16"/>
  <c r="O51" i="16"/>
  <c r="O48" i="16"/>
  <c r="O50" i="16"/>
  <c r="Y29" i="17"/>
  <c r="D13" i="2"/>
  <c r="E11" i="2"/>
  <c r="K29" i="19"/>
  <c r="I30" i="19"/>
  <c r="H31" i="19"/>
  <c r="E13" i="1"/>
  <c r="D15" i="1"/>
  <c r="Y56" i="16" l="1"/>
  <c r="O56" i="16"/>
  <c r="J56" i="16"/>
  <c r="E114" i="16"/>
  <c r="J30" i="19"/>
  <c r="I31" i="19"/>
  <c r="L29" i="19"/>
  <c r="K29" i="4"/>
  <c r="J31" i="4"/>
  <c r="E56" i="16"/>
  <c r="F11" i="2"/>
  <c r="E13" i="2"/>
  <c r="F13" i="1"/>
  <c r="E15" i="1"/>
  <c r="G11" i="2" l="1"/>
  <c r="F13" i="2"/>
  <c r="M29" i="19"/>
  <c r="G13" i="1"/>
  <c r="F15" i="1"/>
  <c r="K31" i="4"/>
  <c r="L29" i="4"/>
  <c r="K30" i="19"/>
  <c r="J31" i="19"/>
  <c r="L30" i="19" l="1"/>
  <c r="K31" i="19"/>
  <c r="N29" i="19"/>
  <c r="L31" i="4"/>
  <c r="M29" i="4"/>
  <c r="H13" i="1"/>
  <c r="G15" i="1"/>
  <c r="H11" i="2"/>
  <c r="G13" i="2"/>
  <c r="I13" i="1" l="1"/>
  <c r="H15" i="1"/>
  <c r="H13" i="2"/>
  <c r="I11" i="2"/>
  <c r="O29" i="19"/>
  <c r="M30" i="19"/>
  <c r="L31" i="19"/>
  <c r="M31" i="4"/>
  <c r="N29" i="4"/>
  <c r="N30" i="19" l="1"/>
  <c r="M31" i="19"/>
  <c r="O29" i="4"/>
  <c r="O31" i="4" s="1"/>
  <c r="N31" i="4"/>
  <c r="F34" i="19"/>
  <c r="J11" i="2"/>
  <c r="I13" i="2"/>
  <c r="I15" i="1"/>
  <c r="J13" i="1"/>
  <c r="N8" i="4" l="1"/>
  <c r="N10" i="4" s="1"/>
  <c r="N16" i="4" s="1"/>
  <c r="J15" i="1"/>
  <c r="K13" i="1"/>
  <c r="K15" i="1" s="1"/>
  <c r="K11" i="2"/>
  <c r="K13" i="2" s="1"/>
  <c r="J13" i="2"/>
  <c r="G34" i="19"/>
  <c r="O30" i="19"/>
  <c r="N31" i="19"/>
  <c r="M20" i="4" l="1"/>
  <c r="C19" i="1"/>
  <c r="C20" i="1" s="1"/>
  <c r="H34" i="19"/>
  <c r="F35" i="19"/>
  <c r="O31" i="19"/>
  <c r="G35" i="19" l="1"/>
  <c r="F36" i="19"/>
  <c r="I34" i="19"/>
  <c r="J34" i="19" l="1"/>
  <c r="H35" i="19"/>
  <c r="G36" i="19"/>
  <c r="K34" i="19" l="1"/>
  <c r="I35" i="19"/>
  <c r="H36" i="19"/>
  <c r="J35" i="19" l="1"/>
  <c r="I36" i="19"/>
  <c r="L34" i="19"/>
  <c r="M34" i="19" l="1"/>
  <c r="K35" i="19"/>
  <c r="J36" i="19"/>
  <c r="L35" i="19" l="1"/>
  <c r="K36" i="19"/>
  <c r="N34" i="19"/>
  <c r="O34" i="19" l="1"/>
  <c r="M35" i="19"/>
  <c r="L36" i="19"/>
  <c r="N35" i="19" l="1"/>
  <c r="M36" i="19"/>
  <c r="O35" i="19" l="1"/>
  <c r="O36" i="19" s="1"/>
  <c r="N36" i="19"/>
  <c r="N8" i="19" l="1"/>
  <c r="N10" i="19" s="1"/>
  <c r="N16" i="19" s="1"/>
  <c r="N18" i="19" s="1"/>
  <c r="M20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Khoo</author>
  </authors>
  <commentList>
    <comment ref="C12" authorId="0" shapeId="0" xr:uid="{00000000-0006-0000-0000-000001000000}">
      <text>
        <r>
          <rPr>
            <b/>
            <sz val="10"/>
            <color rgb="FF000000"/>
            <rFont val="Verdana"/>
            <family val="2"/>
          </rPr>
          <t>If Cash Flow &gt; 1.5x Net Income, use Free Cash Flow.
--
(Operating Cash Flow)
Statement of Cash Flows
Last 4 Quarters
or
(Net Income)
Income sheet
Latest Annual
or
(Free Cash Flow)
Statement of Cash Flows
Last 4 Quarters</t>
        </r>
      </text>
    </comment>
    <comment ref="C14" authorId="0" shapeId="0" xr:uid="{00000000-0006-0000-0000-000002000000}">
      <text>
        <r>
          <rPr>
            <b/>
            <sz val="10"/>
            <color rgb="FF000000"/>
            <rFont val="Verdana"/>
            <family val="2"/>
          </rPr>
          <t xml:space="preserve">Balance Sheet
</t>
        </r>
        <r>
          <rPr>
            <b/>
            <sz val="10"/>
            <color rgb="FF000000"/>
            <rFont val="Verdana"/>
            <family val="2"/>
          </rPr>
          <t>Last Quarter</t>
        </r>
      </text>
    </comment>
    <comment ref="C16" authorId="0" shapeId="0" xr:uid="{00000000-0006-0000-0000-000003000000}">
      <text>
        <r>
          <rPr>
            <b/>
            <sz val="10"/>
            <color rgb="FF000000"/>
            <rFont val="Verdana"/>
            <family val="2"/>
          </rPr>
          <t xml:space="preserve">Balance Sheet
</t>
        </r>
        <r>
          <rPr>
            <b/>
            <sz val="10"/>
            <color rgb="FF000000"/>
            <rFont val="Verdana"/>
            <family val="2"/>
          </rPr>
          <t>Last Quarter</t>
        </r>
      </text>
    </comment>
    <comment ref="C18" authorId="0" shapeId="0" xr:uid="{B358F1E0-A464-437F-91FA-0CC7E40B327F}">
      <text>
        <r>
          <rPr>
            <b/>
            <sz val="9"/>
            <color rgb="FF000000"/>
            <rFont val="Verdana"/>
            <family val="2"/>
          </rPr>
          <t xml:space="preserve">LT Growth Rate
</t>
        </r>
        <r>
          <rPr>
            <b/>
            <sz val="9"/>
            <color rgb="FF000000"/>
            <rFont val="Verdana"/>
            <family val="2"/>
          </rPr>
          <t xml:space="preserve">or
</t>
        </r>
        <r>
          <rPr>
            <b/>
            <sz val="9"/>
            <color rgb="FF000000"/>
            <rFont val="Verdana"/>
            <family val="2"/>
          </rPr>
          <t>EPS 5-Year Growth Rate</t>
        </r>
      </text>
    </comment>
    <comment ref="C20" authorId="0" shapeId="0" xr:uid="{91FC57EA-6250-4E42-B20D-B82FC3AD10DC}">
      <text>
        <r>
          <rPr>
            <b/>
            <sz val="10"/>
            <color rgb="FF000000"/>
            <rFont val="Verdana"/>
            <family val="2"/>
          </rPr>
          <t>Maximum 15%</t>
        </r>
      </text>
    </comment>
    <comment ref="C26" authorId="0" shapeId="0" xr:uid="{00000000-0006-0000-0000-000006000000}">
      <text>
        <r>
          <rPr>
            <b/>
            <sz val="9"/>
            <color indexed="81"/>
            <rFont val="Verdana"/>
            <family val="2"/>
          </rPr>
          <t>finance.yahoo.com/quote/&lt;Stock&gt; -&gt; Statistics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Khoo</author>
  </authors>
  <commentList>
    <comment ref="C12" authorId="0" shapeId="0" xr:uid="{7D0B462A-9968-4DC7-8A54-6DA250BC15DB}">
      <text>
        <r>
          <rPr>
            <b/>
            <sz val="10"/>
            <color rgb="FF000000"/>
            <rFont val="Verdana"/>
            <family val="2"/>
          </rPr>
          <t>If Cash Flow &gt; 1.5x Net Income, use Free Cash Flow.
--
(Operating Cash Flow)
Statement of Cash Flows
Last 4 Quarters
or
(Net Income)
Income sheet
Latest Annual
or
(Free Cash Flow)
Statement of Cash Flows
Last 4 Quarters</t>
        </r>
      </text>
    </comment>
    <comment ref="C14" authorId="0" shapeId="0" xr:uid="{CF4F8E68-6486-49A0-8391-22B707370A99}">
      <text>
        <r>
          <rPr>
            <b/>
            <sz val="10"/>
            <color indexed="81"/>
            <rFont val="Verdana"/>
            <family val="2"/>
          </rPr>
          <t>Balance Sheet
Last Quarter</t>
        </r>
      </text>
    </comment>
    <comment ref="C16" authorId="0" shapeId="0" xr:uid="{4A39BE37-E939-4A1D-909C-5CA39413E84A}">
      <text>
        <r>
          <rPr>
            <b/>
            <sz val="10"/>
            <color indexed="81"/>
            <rFont val="Verdana"/>
            <family val="2"/>
          </rPr>
          <t>Balance Sheet
Last Quarter</t>
        </r>
      </text>
    </comment>
    <comment ref="C18" authorId="0" shapeId="0" xr:uid="{9BF9B610-6980-4F3E-B9D8-A883D6D3496E}">
      <text>
        <r>
          <rPr>
            <b/>
            <sz val="9"/>
            <color rgb="FF000000"/>
            <rFont val="Verdana"/>
            <family val="2"/>
          </rPr>
          <t xml:space="preserve">LT Growth Rate
</t>
        </r>
        <r>
          <rPr>
            <b/>
            <sz val="9"/>
            <color rgb="FF000000"/>
            <rFont val="Verdana"/>
            <family val="2"/>
          </rPr>
          <t xml:space="preserve">or
</t>
        </r>
        <r>
          <rPr>
            <b/>
            <sz val="9"/>
            <color rgb="FF000000"/>
            <rFont val="Verdana"/>
            <family val="2"/>
          </rPr>
          <t>EPS 5-Year Growth Rate</t>
        </r>
      </text>
    </comment>
    <comment ref="C20" authorId="0" shapeId="0" xr:uid="{4A49F4D2-A41A-4BC1-BFEA-815075BF0C50}">
      <text>
        <r>
          <rPr>
            <b/>
            <sz val="10"/>
            <color rgb="FF000000"/>
            <rFont val="Verdana"/>
            <family val="2"/>
          </rPr>
          <t>Maximum 15%</t>
        </r>
      </text>
    </comment>
    <comment ref="C22" authorId="0" shapeId="0" xr:uid="{505C3D4C-F9B8-4EAB-8819-22C75B684FCA}">
      <text>
        <r>
          <rPr>
            <b/>
            <sz val="9"/>
            <color rgb="FF000000"/>
            <rFont val="Verdana"/>
            <family val="2"/>
          </rPr>
          <t>Long Term GDP Growth Rate + 1%
US Stocks: 4.18%
China Stocks: 7%</t>
        </r>
      </text>
    </comment>
    <comment ref="C26" authorId="0" shapeId="0" xr:uid="{080DCDED-F7D4-40A7-955C-CFC74D3BD209}">
      <text>
        <r>
          <rPr>
            <b/>
            <sz val="9"/>
            <color indexed="81"/>
            <rFont val="Verdana"/>
            <family val="2"/>
          </rPr>
          <t>finance.yahoo.com/quote/&lt;Stock&gt; -&gt; Statistics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Ng</author>
  </authors>
  <commentList>
    <comment ref="D3" authorId="0" shapeId="0" xr:uid="{8F1D5E8B-08AD-459E-BF25-D98D135754AF}">
      <text>
        <r>
          <rPr>
            <b/>
            <sz val="10"/>
            <color indexed="81"/>
            <rFont val="Verdana"/>
            <family val="2"/>
          </rPr>
          <t>Add in your cash balance here.</t>
        </r>
      </text>
    </comment>
    <comment ref="T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Green</t>
        </r>
        <r>
          <rPr>
            <sz val="9"/>
            <color indexed="81"/>
            <rFont val="Tahoma"/>
            <family val="2"/>
          </rPr>
          <t xml:space="preserve"> = % allocation &lt; 50% of planned allocation.
</t>
        </r>
        <r>
          <rPr>
            <b/>
            <sz val="9"/>
            <color indexed="81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 xml:space="preserve"> = % allocation &gt; 100% of planned allocation.
</t>
        </r>
      </text>
    </comment>
    <comment ref="V8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&lt; 0%</t>
        </r>
        <r>
          <rPr>
            <sz val="9"/>
            <color indexed="81"/>
            <rFont val="Tahoma"/>
            <family val="2"/>
          </rPr>
          <t xml:space="preserve"> = Undervalued
</t>
        </r>
        <r>
          <rPr>
            <b/>
            <sz val="9"/>
            <color indexed="81"/>
            <rFont val="Tahoma"/>
            <family val="2"/>
          </rPr>
          <t>&gt; 0%</t>
        </r>
        <r>
          <rPr>
            <sz val="9"/>
            <color indexed="81"/>
            <rFont val="Tahoma"/>
            <family val="2"/>
          </rPr>
          <t xml:space="preserve"> = Overvalued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<sst xmlns="http://schemas.openxmlformats.org/spreadsheetml/2006/main" count="404" uniqueCount="190">
  <si>
    <t>KEY IN THE VALUES IN THE WHITE BOXES</t>
  </si>
  <si>
    <t>less Debt per Share</t>
  </si>
  <si>
    <t>Plus (+) Cash Per Share</t>
  </si>
  <si>
    <t>Currency</t>
  </si>
  <si>
    <t>Currency Data</t>
  </si>
  <si>
    <t>CURRENCY</t>
  </si>
  <si>
    <t>SYMBOL</t>
  </si>
  <si>
    <t>Singapore Dollar</t>
  </si>
  <si>
    <t>US Dollar</t>
  </si>
  <si>
    <t>Malaysian Ringgit</t>
  </si>
  <si>
    <t>SGD$</t>
  </si>
  <si>
    <t>USD$</t>
  </si>
  <si>
    <t>RM$</t>
  </si>
  <si>
    <t>HKD$</t>
  </si>
  <si>
    <t>RMB$</t>
  </si>
  <si>
    <t>Year</t>
  </si>
  <si>
    <t>EPS (current)</t>
  </si>
  <si>
    <t>Discount Factor</t>
  </si>
  <si>
    <t>Discounted Value</t>
  </si>
  <si>
    <t>EPS (Projected)</t>
  </si>
  <si>
    <t>Note: This assumes EPS growth rate remains constant throughout the 10 years</t>
  </si>
  <si>
    <t>In certain cases, you may want to lower or increase the growth rate after a few years.</t>
  </si>
  <si>
    <t>Cash flow growth rate</t>
  </si>
  <si>
    <t>PV of 10 yr Cash flows</t>
  </si>
  <si>
    <t>No. Shares Outstanding</t>
  </si>
  <si>
    <t>Intrinsic Value per share</t>
  </si>
  <si>
    <t>(Be consistent with the denominations used. Usually Millions $)</t>
  </si>
  <si>
    <t>( Be consisent with the denominations used. Usually $)</t>
  </si>
  <si>
    <t xml:space="preserve">EPS growth rate </t>
  </si>
  <si>
    <t>Note: This assumes Cash growth rate remains constant throughout the 10 years</t>
  </si>
  <si>
    <t>KEY IN THE VALUES IN RED</t>
  </si>
  <si>
    <t>Operating Cash Flow (current)</t>
  </si>
  <si>
    <t>million</t>
  </si>
  <si>
    <t>Assuming a Discount rate of 4% per year.</t>
  </si>
  <si>
    <t>Intrinsic Value Calculator (Discounted Cash Flow Method 10 years)</t>
  </si>
  <si>
    <t>Intrinsic Value Calculator (Discounted Earnings Per Share Method 10 years)</t>
  </si>
  <si>
    <t>Cash Flow (Projected)</t>
  </si>
  <si>
    <t>Current Year</t>
  </si>
  <si>
    <t>Name of Stock</t>
  </si>
  <si>
    <t>Stock Symbol</t>
  </si>
  <si>
    <t>Discount Rate</t>
  </si>
  <si>
    <t>Intrinsic Value:</t>
  </si>
  <si>
    <t>No. of Shares Outstanding</t>
  </si>
  <si>
    <t>NB: Take the last Fiscal Year as the Current Year</t>
  </si>
  <si>
    <t>Less than 0.80</t>
    <phoneticPr fontId="4" type="noConversion"/>
  </si>
  <si>
    <t>BETA</t>
    <phoneticPr fontId="4" type="noConversion"/>
  </si>
  <si>
    <t>DISCOUNT RATE</t>
    <phoneticPr fontId="4" type="noConversion"/>
  </si>
  <si>
    <t>More than 1.6</t>
    <phoneticPr fontId="4" type="noConversion"/>
  </si>
  <si>
    <t>Total Debt (Short Term + LT Debt)</t>
  </si>
  <si>
    <t>Cash and Short Term Investments</t>
  </si>
  <si>
    <t>IDR$</t>
  </si>
  <si>
    <t>Quantity</t>
  </si>
  <si>
    <t>Predictable</t>
  </si>
  <si>
    <t>ETF</t>
  </si>
  <si>
    <t>Cyclical</t>
  </si>
  <si>
    <t>Technology</t>
  </si>
  <si>
    <t>Financials</t>
  </si>
  <si>
    <t>TOTAL</t>
  </si>
  <si>
    <t>Discount/Premium</t>
  </si>
  <si>
    <t>Last Close</t>
  </si>
  <si>
    <t>Singapore</t>
  </si>
  <si>
    <t>Hong Kong</t>
  </si>
  <si>
    <t>China</t>
  </si>
  <si>
    <t>US</t>
  </si>
  <si>
    <t>Percentage by Market Value</t>
  </si>
  <si>
    <t>Market Value (in USD)</t>
  </si>
  <si>
    <t>Count</t>
  </si>
  <si>
    <t>Country</t>
  </si>
  <si>
    <t>Geographical Breakdown</t>
  </si>
  <si>
    <t>Deep Value</t>
  </si>
  <si>
    <t>Category</t>
  </si>
  <si>
    <t>Breakdown by Category (Market Value)</t>
  </si>
  <si>
    <t>Breakdown by Holdings (Market Value)</t>
  </si>
  <si>
    <t>NOTE: EVERYTHING IN THIS PAGE IS AUTO-CALCULATED</t>
  </si>
  <si>
    <t>DASHBOARD</t>
  </si>
  <si>
    <t>SGD</t>
  </si>
  <si>
    <t>Real Estate</t>
  </si>
  <si>
    <t>USD</t>
  </si>
  <si>
    <t>NA</t>
  </si>
  <si>
    <t>Microsoft</t>
  </si>
  <si>
    <t>MSFT</t>
  </si>
  <si>
    <t>% Change
(includes Dividend)</t>
  </si>
  <si>
    <t>Total Dividend Received
(% of Total Cost)</t>
  </si>
  <si>
    <t>Total Dividend Received
(in USD)</t>
  </si>
  <si>
    <t>% Change
(excludes Dividend)</t>
  </si>
  <si>
    <t>% of Portfolio
(by Market Value)</t>
  </si>
  <si>
    <t>Market Value
(in USD)</t>
  </si>
  <si>
    <t>Current Price
(in USD)</t>
  </si>
  <si>
    <t>Discount / Premium</t>
  </si>
  <si>
    <t>Intrinsic Value
(in USD)</t>
  </si>
  <si>
    <t>% Allocated</t>
  </si>
  <si>
    <t>Total Cost
(in USD)</t>
  </si>
  <si>
    <t>Avg Cost
(in USD)</t>
  </si>
  <si>
    <t>Current  Price
(in Listed Currency)</t>
  </si>
  <si>
    <t>Total Dividend Received
(in Listed Currency)</t>
  </si>
  <si>
    <t>Intrinsic Value
(in Listed Currency)</t>
  </si>
  <si>
    <t>Valuation Date</t>
  </si>
  <si>
    <t>Avg Cost
(in Listed Currency)</t>
  </si>
  <si>
    <t>Planned Allocation
(in Listed Currency)</t>
  </si>
  <si>
    <t>Exchange Rate 
(1 USD to xxx Listed Currency)</t>
  </si>
  <si>
    <t>Listed
Currency</t>
  </si>
  <si>
    <t>Sector</t>
  </si>
  <si>
    <t>Name</t>
  </si>
  <si>
    <t>Ticker</t>
  </si>
  <si>
    <t>#</t>
  </si>
  <si>
    <t>NOTE: THIS IS AUTO-CALCULATED</t>
  </si>
  <si>
    <t>Price</t>
  </si>
  <si>
    <t>Dividend</t>
  </si>
  <si>
    <t>Valuation</t>
  </si>
  <si>
    <t>Cost</t>
  </si>
  <si>
    <t>Allocation</t>
  </si>
  <si>
    <t>Stock Information</t>
  </si>
  <si>
    <t>Market Value</t>
  </si>
  <si>
    <t>Allocation in USD</t>
  </si>
  <si>
    <t>Cost in USD</t>
  </si>
  <si>
    <t>Net Liquidation</t>
  </si>
  <si>
    <t>Equity Position</t>
  </si>
  <si>
    <t>Cash USD</t>
  </si>
  <si>
    <t>PORTFOLIO TRACKER</t>
  </si>
  <si>
    <t>Utilities</t>
  </si>
  <si>
    <t>Materials</t>
  </si>
  <si>
    <t>Industrials</t>
  </si>
  <si>
    <t>Health Care</t>
  </si>
  <si>
    <t>Energy</t>
  </si>
  <si>
    <t>Consumer Staples</t>
  </si>
  <si>
    <t>Consumer Discretionary</t>
  </si>
  <si>
    <t>Communication Services</t>
  </si>
  <si>
    <t>ALL</t>
  </si>
  <si>
    <t>NOTE: You can expand the DATA VALIDATION for each category by adding a new row to the category!</t>
  </si>
  <si>
    <t>Discount Rate for US Stocks</t>
  </si>
  <si>
    <t>Discount Rate for China/HK Stocks</t>
  </si>
  <si>
    <t>Discount Rate = Risk Free Rate + Beta x Market Risk Premium</t>
  </si>
  <si>
    <t>Average market risk premium =</t>
  </si>
  <si>
    <t>Source:</t>
  </si>
  <si>
    <t>http://www.market-risk-premia.com/us.html</t>
  </si>
  <si>
    <t>http://www.market-risk-premia.com/hk.html</t>
  </si>
  <si>
    <t>(Discount)/Premium</t>
  </si>
  <si>
    <t>Risk Free Rate =</t>
  </si>
  <si>
    <t>Operating Cash Flow (Current)</t>
  </si>
  <si>
    <t>Net Income (Current)</t>
  </si>
  <si>
    <t xml:space="preserve">        ©️ 2020 Piranha Ltd. All rights reserved. </t>
  </si>
  <si>
    <t xml:space="preserve">©️ 2020 Piranha Ltd. All rights reserved.    </t>
  </si>
  <si>
    <t>Intrinsic Value before cash/debt</t>
  </si>
  <si>
    <t>Planned
Allocation
(in USD)</t>
  </si>
  <si>
    <t>Cash Flow</t>
  </si>
  <si>
    <t>Operating Cash Flow (Projected)</t>
  </si>
  <si>
    <t>Discounted Cash Flow Method</t>
  </si>
  <si>
    <t>Net Income</t>
  </si>
  <si>
    <t>Net Income (Projected)</t>
  </si>
  <si>
    <t>Discounted Net Income Method</t>
  </si>
  <si>
    <t>Free Cash Flow (Current)</t>
  </si>
  <si>
    <t>Free Cash Flow</t>
  </si>
  <si>
    <t>Free Cash Flow growth rate (Yr 6 - 10)</t>
  </si>
  <si>
    <t>Free Cash Flow (Projected)</t>
  </si>
  <si>
    <t>Discounted Free Cash Flow Method</t>
  </si>
  <si>
    <t>Cash Flow Growth Rate (Yr 1 - 5)</t>
  </si>
  <si>
    <t>Net Income Growth Rate (Yr 1 - 5)</t>
  </si>
  <si>
    <t>Free Cash Flow Growth Rate (Yr 1 - 5)</t>
  </si>
  <si>
    <t>Cash Flow Growth Rate (Yr 6 - 10)</t>
  </si>
  <si>
    <t>Net Income Growth Rate (Yr 6 - 10)</t>
  </si>
  <si>
    <t>Statement Currency</t>
  </si>
  <si>
    <t>Net Income Growth Rate (Yr 11 - 20)</t>
  </si>
  <si>
    <t>Cash Flow Growth Rate (Yr 11 - 20)</t>
  </si>
  <si>
    <t>Free Cash Flow Growth Rate (Yr 11 - 20)</t>
  </si>
  <si>
    <t>Stock Currency</t>
  </si>
  <si>
    <r>
      <t xml:space="preserve">Final Intrinsic Value Per Share
</t>
    </r>
    <r>
      <rPr>
        <b/>
        <sz val="8"/>
        <color rgb="FFFFFFFF"/>
        <rFont val="Arial"/>
        <family val="2"/>
      </rPr>
      <t>(in Statement Currency)</t>
    </r>
  </si>
  <si>
    <r>
      <t xml:space="preserve">Final Intrinsic Value Per Share
</t>
    </r>
    <r>
      <rPr>
        <b/>
        <sz val="8"/>
        <color rgb="FFFFFFFF"/>
        <rFont val="Arial"/>
        <family val="2"/>
      </rPr>
      <t>(in Stock Currency)</t>
    </r>
  </si>
  <si>
    <t>GBP$</t>
  </si>
  <si>
    <t>Australian Dollar</t>
  </si>
  <si>
    <t>AUD$</t>
  </si>
  <si>
    <t>EUR$</t>
  </si>
  <si>
    <t>Euro Dollar</t>
  </si>
  <si>
    <t>Chinese Ren Min Bi</t>
  </si>
  <si>
    <t>Indonesian Rupiah</t>
  </si>
  <si>
    <t>British Pound Sterling</t>
  </si>
  <si>
    <t>Hong Kong Dollar</t>
  </si>
  <si>
    <t>Large Growth</t>
  </si>
  <si>
    <t>Speculative Growth</t>
  </si>
  <si>
    <t>Turnarounds</t>
  </si>
  <si>
    <t>HS Tech Index ETF</t>
  </si>
  <si>
    <t>HKD</t>
  </si>
  <si>
    <t>ASHR</t>
  </si>
  <si>
    <t>CSI 3000 China A-Shares ETF</t>
  </si>
  <si>
    <t>CSFU</t>
  </si>
  <si>
    <t>Cromwell REIT (SGD)</t>
  </si>
  <si>
    <t>RKLB</t>
  </si>
  <si>
    <t>Rocket Lab USA</t>
  </si>
  <si>
    <t>C3.ai</t>
  </si>
  <si>
    <t>AI</t>
  </si>
  <si>
    <t>Less Debt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</si>
</sst>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#,##0.0_ &quot;millions&quot;;[Red]\(#,##0.0\ &quot;millions&quot;\)"/>
    <numFmt numFmtId="167" formatCode="0.0%"/>
    <numFmt numFmtId="168" formatCode="&quot;SGD&quot;&quot;$&quot;#,##0.00\ &quot;millions&quot;"/>
    <numFmt numFmtId="169" formatCode="#,##0.00\ &quot;millions&quot;"/>
    <numFmt numFmtId="170" formatCode="[$-409]dd\ mmm\ yy;@"/>
    <numFmt numFmtId="171" formatCode="0.0000"/>
  </numFmts>
  <fonts count="69" x14ac:knownFonts="1">
    <font>
      <sz val="10"/>
      <name val="Verdana"/>
    </font>
    <font>
      <sz val="10"/>
      <name val="Verdana"/>
      <family val="2"/>
    </font>
    <font>
      <b/>
      <sz val="12"/>
      <color indexed="10"/>
      <name val="Verdana"/>
      <family val="2"/>
    </font>
    <font>
      <b/>
      <sz val="12"/>
      <color indexed="9"/>
      <name val="Verdana"/>
      <family val="2"/>
    </font>
    <font>
      <sz val="8"/>
      <name val="Verdana"/>
      <family val="2"/>
    </font>
    <font>
      <b/>
      <sz val="12"/>
      <color indexed="53"/>
      <name val="Verdana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2"/>
      <name val="Verdana"/>
      <family val="2"/>
    </font>
    <font>
      <sz val="10"/>
      <color indexed="9"/>
      <name val="Verdana"/>
      <family val="2"/>
    </font>
    <font>
      <b/>
      <sz val="18"/>
      <color indexed="10"/>
      <name val="Verdana"/>
      <family val="2"/>
    </font>
    <font>
      <sz val="10"/>
      <name val="Verdana"/>
      <family val="2"/>
    </font>
    <font>
      <b/>
      <sz val="20"/>
      <color indexed="10"/>
      <name val="Verdana"/>
      <family val="2"/>
    </font>
    <font>
      <sz val="12"/>
      <name val="Verdana"/>
      <family val="2"/>
    </font>
    <font>
      <sz val="12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9"/>
      <color indexed="81"/>
      <name val="Verdana"/>
      <family val="2"/>
    </font>
    <font>
      <b/>
      <sz val="10"/>
      <color indexed="81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0"/>
      <name val="Helvetica"/>
    </font>
    <font>
      <b/>
      <sz val="10"/>
      <name val="Helvetica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20"/>
      <color indexed="9"/>
      <name val="Arial"/>
      <family val="2"/>
    </font>
    <font>
      <b/>
      <sz val="11"/>
      <color indexed="13"/>
      <name val="Arial"/>
      <family val="2"/>
    </font>
    <font>
      <b/>
      <sz val="16"/>
      <color indexed="10"/>
      <name val="Helvetica"/>
    </font>
    <font>
      <sz val="12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4"/>
      <color rgb="FFFF000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0"/>
      <color theme="1"/>
      <name val="Verdana"/>
      <family val="2"/>
    </font>
    <font>
      <b/>
      <sz val="8"/>
      <color rgb="FFFFFFFF"/>
      <name val="Arial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85D7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A945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68" fillId="0" borderId="0" applyFont="0" applyFill="0" applyBorder="0" applyAlignment="0" applyProtection="0"/>
  </cellStyleXfs>
  <cellXfs count="406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3" fillId="4" borderId="3" xfId="0" applyFont="1" applyFill="1" applyBorder="1" applyAlignment="1">
      <alignment horizontal="center"/>
    </xf>
    <xf numFmtId="0" fontId="9" fillId="0" borderId="0" xfId="0" applyFont="1"/>
    <xf numFmtId="0" fontId="8" fillId="3" borderId="3" xfId="0" applyFont="1" applyFill="1" applyBorder="1"/>
    <xf numFmtId="0" fontId="13" fillId="3" borderId="3" xfId="0" applyFont="1" applyFill="1" applyBorder="1" applyAlignment="1">
      <alignment horizontal="center"/>
    </xf>
    <xf numFmtId="0" fontId="12" fillId="0" borderId="0" xfId="0" applyFont="1"/>
    <xf numFmtId="0" fontId="8" fillId="2" borderId="3" xfId="0" applyFont="1" applyFill="1" applyBorder="1"/>
    <xf numFmtId="164" fontId="13" fillId="3" borderId="3" xfId="0" applyNumberFormat="1" applyFont="1" applyFill="1" applyBorder="1" applyAlignment="1">
      <alignment horizontal="center"/>
    </xf>
    <xf numFmtId="0" fontId="8" fillId="5" borderId="3" xfId="0" applyFont="1" applyFill="1" applyBorder="1"/>
    <xf numFmtId="2" fontId="13" fillId="5" borderId="3" xfId="0" applyNumberFormat="1" applyFont="1" applyFill="1" applyBorder="1" applyAlignment="1">
      <alignment horizontal="center"/>
    </xf>
    <xf numFmtId="0" fontId="3" fillId="6" borderId="3" xfId="0" applyFont="1" applyFill="1" applyBorder="1"/>
    <xf numFmtId="164" fontId="14" fillId="6" borderId="3" xfId="0" applyNumberFormat="1" applyFont="1" applyFill="1" applyBorder="1" applyAlignment="1">
      <alignment horizontal="center"/>
    </xf>
    <xf numFmtId="0" fontId="8" fillId="0" borderId="0" xfId="0" applyFont="1"/>
    <xf numFmtId="0" fontId="13" fillId="7" borderId="4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3" fillId="7" borderId="7" xfId="0" applyFont="1" applyFill="1" applyBorder="1"/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 vertical="center"/>
    </xf>
    <xf numFmtId="164" fontId="7" fillId="9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 vertical="center"/>
    </xf>
    <xf numFmtId="165" fontId="3" fillId="10" borderId="12" xfId="0" applyNumberFormat="1" applyFont="1" applyFill="1" applyBorder="1" applyAlignment="1">
      <alignment horizontal="right" vertical="center"/>
    </xf>
    <xf numFmtId="0" fontId="8" fillId="11" borderId="3" xfId="0" applyFont="1" applyFill="1" applyBorder="1" applyAlignment="1">
      <alignment vertical="center"/>
    </xf>
    <xf numFmtId="164" fontId="1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3" borderId="3" xfId="0" applyFont="1" applyFill="1" applyBorder="1" applyAlignment="1">
      <alignment vertical="center"/>
    </xf>
    <xf numFmtId="2" fontId="13" fillId="3" borderId="3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vertical="center"/>
    </xf>
    <xf numFmtId="164" fontId="14" fillId="12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28" fillId="14" borderId="0" xfId="30" applyFill="1"/>
    <xf numFmtId="167" fontId="0" fillId="14" borderId="0" xfId="31" applyNumberFormat="1" applyFont="1" applyFill="1"/>
    <xf numFmtId="167" fontId="28" fillId="0" borderId="0" xfId="30" applyNumberFormat="1" applyAlignment="1">
      <alignment horizontal="center" vertical="center"/>
    </xf>
    <xf numFmtId="44" fontId="28" fillId="0" borderId="0" xfId="30" applyNumberFormat="1" applyAlignment="1">
      <alignment horizontal="center" vertical="center"/>
    </xf>
    <xf numFmtId="0" fontId="22" fillId="0" borderId="0" xfId="30" applyFont="1" applyAlignment="1">
      <alignment horizontal="center" vertical="center"/>
    </xf>
    <xf numFmtId="167" fontId="23" fillId="0" borderId="0" xfId="31" applyNumberFormat="1" applyFont="1" applyFill="1" applyAlignment="1">
      <alignment horizontal="center" vertical="center"/>
    </xf>
    <xf numFmtId="44" fontId="23" fillId="0" borderId="0" xfId="32" applyFont="1" applyFill="1" applyAlignment="1">
      <alignment horizontal="center" vertical="center"/>
    </xf>
    <xf numFmtId="0" fontId="23" fillId="0" borderId="0" xfId="30" applyFont="1" applyAlignment="1">
      <alignment horizontal="center" vertical="center"/>
    </xf>
    <xf numFmtId="0" fontId="29" fillId="0" borderId="0" xfId="30" applyFont="1" applyAlignment="1">
      <alignment horizontal="center" vertical="center"/>
    </xf>
    <xf numFmtId="0" fontId="24" fillId="14" borderId="0" xfId="30" applyFont="1" applyFill="1"/>
    <xf numFmtId="164" fontId="28" fillId="14" borderId="0" xfId="30" applyNumberFormat="1" applyFill="1"/>
    <xf numFmtId="0" fontId="22" fillId="14" borderId="0" xfId="30" applyFont="1" applyFill="1"/>
    <xf numFmtId="9" fontId="29" fillId="14" borderId="0" xfId="31" applyFont="1" applyFill="1" applyAlignment="1">
      <alignment horizontal="center"/>
    </xf>
    <xf numFmtId="164" fontId="23" fillId="14" borderId="0" xfId="30" applyNumberFormat="1" applyFont="1" applyFill="1"/>
    <xf numFmtId="44" fontId="0" fillId="14" borderId="0" xfId="32" applyFont="1" applyFill="1"/>
    <xf numFmtId="10" fontId="23" fillId="14" borderId="0" xfId="30" applyNumberFormat="1" applyFont="1" applyFill="1"/>
    <xf numFmtId="0" fontId="28" fillId="14" borderId="0" xfId="30" applyFill="1" applyAlignment="1">
      <alignment horizontal="center" vertical="center"/>
    </xf>
    <xf numFmtId="0" fontId="28" fillId="14" borderId="0" xfId="30" applyFill="1" applyAlignment="1">
      <alignment horizontal="center" vertical="center" wrapText="1"/>
    </xf>
    <xf numFmtId="0" fontId="30" fillId="14" borderId="0" xfId="30" applyFont="1" applyFill="1"/>
    <xf numFmtId="9" fontId="31" fillId="14" borderId="0" xfId="31" applyFont="1" applyFill="1" applyAlignment="1">
      <alignment horizontal="center"/>
    </xf>
    <xf numFmtId="44" fontId="30" fillId="14" borderId="0" xfId="32" applyFont="1" applyFill="1"/>
    <xf numFmtId="167" fontId="30" fillId="14" borderId="0" xfId="31" applyNumberFormat="1" applyFont="1" applyFill="1"/>
    <xf numFmtId="0" fontId="29" fillId="0" borderId="0" xfId="30" applyFont="1" applyAlignment="1">
      <alignment horizontal="center" vertical="center" wrapText="1"/>
    </xf>
    <xf numFmtId="0" fontId="25" fillId="14" borderId="0" xfId="30" applyFont="1" applyFill="1"/>
    <xf numFmtId="0" fontId="33" fillId="14" borderId="0" xfId="30" applyFont="1" applyFill="1"/>
    <xf numFmtId="0" fontId="34" fillId="14" borderId="0" xfId="30" applyFont="1" applyFill="1"/>
    <xf numFmtId="1" fontId="28" fillId="14" borderId="0" xfId="30" applyNumberFormat="1" applyFill="1"/>
    <xf numFmtId="2" fontId="28" fillId="14" borderId="0" xfId="30" applyNumberFormat="1" applyFill="1"/>
    <xf numFmtId="0" fontId="35" fillId="14" borderId="0" xfId="30" applyFont="1" applyFill="1"/>
    <xf numFmtId="10" fontId="35" fillId="14" borderId="0" xfId="30" applyNumberFormat="1" applyFont="1" applyFill="1"/>
    <xf numFmtId="167" fontId="35" fillId="14" borderId="0" xfId="31" applyNumberFormat="1" applyFont="1" applyFill="1"/>
    <xf numFmtId="0" fontId="35" fillId="14" borderId="0" xfId="30" applyFont="1" applyFill="1" applyAlignment="1">
      <alignment horizontal="center" vertical="center"/>
    </xf>
    <xf numFmtId="167" fontId="29" fillId="0" borderId="17" xfId="31" applyNumberFormat="1" applyFont="1" applyFill="1" applyBorder="1" applyAlignment="1">
      <alignment horizontal="center" vertical="center"/>
    </xf>
    <xf numFmtId="167" fontId="23" fillId="0" borderId="0" xfId="31" applyNumberFormat="1" applyFont="1" applyFill="1" applyBorder="1" applyAlignment="1">
      <alignment horizontal="center" vertical="center"/>
    </xf>
    <xf numFmtId="44" fontId="23" fillId="0" borderId="0" xfId="32" applyFont="1" applyFill="1" applyBorder="1" applyAlignment="1">
      <alignment horizontal="center" vertical="center"/>
    </xf>
    <xf numFmtId="167" fontId="23" fillId="0" borderId="17" xfId="31" applyNumberFormat="1" applyFont="1" applyFill="1" applyBorder="1" applyAlignment="1">
      <alignment horizontal="center" vertical="center"/>
    </xf>
    <xf numFmtId="44" fontId="23" fillId="0" borderId="16" xfId="32" applyFont="1" applyFill="1" applyBorder="1" applyAlignment="1">
      <alignment horizontal="center" vertical="center"/>
    </xf>
    <xf numFmtId="44" fontId="23" fillId="0" borderId="17" xfId="32" applyFont="1" applyFill="1" applyBorder="1" applyAlignment="1">
      <alignment horizontal="center" vertical="center"/>
    </xf>
    <xf numFmtId="44" fontId="23" fillId="0" borderId="30" xfId="32" applyFont="1" applyFill="1" applyBorder="1" applyAlignment="1">
      <alignment horizontal="center" vertical="center"/>
    </xf>
    <xf numFmtId="170" fontId="23" fillId="0" borderId="16" xfId="31" applyNumberFormat="1" applyFont="1" applyFill="1" applyBorder="1" applyAlignment="1">
      <alignment horizontal="center" vertical="center"/>
    </xf>
    <xf numFmtId="1" fontId="23" fillId="0" borderId="0" xfId="30" applyNumberFormat="1" applyFont="1" applyAlignment="1">
      <alignment horizontal="center" vertical="center"/>
    </xf>
    <xf numFmtId="44" fontId="23" fillId="0" borderId="29" xfId="32" applyFont="1" applyFill="1" applyBorder="1" applyAlignment="1">
      <alignment horizontal="center" vertical="center"/>
    </xf>
    <xf numFmtId="0" fontId="23" fillId="0" borderId="16" xfId="30" applyFont="1" applyBorder="1" applyAlignment="1">
      <alignment horizontal="center" vertical="center"/>
    </xf>
    <xf numFmtId="0" fontId="23" fillId="0" borderId="0" xfId="30" applyFont="1" applyAlignment="1">
      <alignment horizontal="center" vertical="center" wrapText="1"/>
    </xf>
    <xf numFmtId="2" fontId="23" fillId="0" borderId="17" xfId="30" applyNumberFormat="1" applyFont="1" applyBorder="1" applyAlignment="1">
      <alignment horizontal="center" vertical="center"/>
    </xf>
    <xf numFmtId="0" fontId="23" fillId="14" borderId="0" xfId="30" applyFont="1" applyFill="1"/>
    <xf numFmtId="44" fontId="29" fillId="14" borderId="0" xfId="32" applyFont="1" applyFill="1"/>
    <xf numFmtId="0" fontId="29" fillId="14" borderId="0" xfId="30" applyFont="1" applyFill="1"/>
    <xf numFmtId="49" fontId="29" fillId="14" borderId="0" xfId="31" applyNumberFormat="1" applyFont="1" applyFill="1"/>
    <xf numFmtId="49" fontId="23" fillId="14" borderId="0" xfId="31" applyNumberFormat="1" applyFont="1" applyFill="1"/>
    <xf numFmtId="44" fontId="23" fillId="14" borderId="0" xfId="32" applyFont="1" applyFill="1"/>
    <xf numFmtId="1" fontId="23" fillId="14" borderId="0" xfId="30" applyNumberFormat="1" applyFont="1" applyFill="1"/>
    <xf numFmtId="2" fontId="23" fillId="14" borderId="0" xfId="30" applyNumberFormat="1" applyFont="1" applyFill="1"/>
    <xf numFmtId="167" fontId="23" fillId="14" borderId="0" xfId="31" applyNumberFormat="1" applyFont="1" applyFill="1"/>
    <xf numFmtId="167" fontId="29" fillId="14" borderId="0" xfId="31" applyNumberFormat="1" applyFont="1" applyFill="1"/>
    <xf numFmtId="0" fontId="25" fillId="15" borderId="0" xfId="30" applyFont="1" applyFill="1" applyAlignment="1">
      <alignment wrapText="1"/>
    </xf>
    <xf numFmtId="0" fontId="1" fillId="16" borderId="0" xfId="0" applyFont="1" applyFill="1" applyAlignment="1">
      <alignment vertical="center"/>
    </xf>
    <xf numFmtId="0" fontId="11" fillId="16" borderId="0" xfId="0" applyFont="1" applyFill="1" applyAlignment="1">
      <alignment vertical="center"/>
    </xf>
    <xf numFmtId="0" fontId="11" fillId="17" borderId="13" xfId="0" applyFont="1" applyFill="1" applyBorder="1"/>
    <xf numFmtId="0" fontId="11" fillId="17" borderId="14" xfId="0" applyFont="1" applyFill="1" applyBorder="1"/>
    <xf numFmtId="0" fontId="11" fillId="17" borderId="14" xfId="0" applyFont="1" applyFill="1" applyBorder="1" applyAlignment="1">
      <alignment horizontal="center"/>
    </xf>
    <xf numFmtId="0" fontId="11" fillId="17" borderId="15" xfId="0" applyFont="1" applyFill="1" applyBorder="1"/>
    <xf numFmtId="0" fontId="11" fillId="16" borderId="0" xfId="0" applyFont="1" applyFill="1"/>
    <xf numFmtId="0" fontId="10" fillId="16" borderId="0" xfId="0" applyFont="1" applyFill="1"/>
    <xf numFmtId="0" fontId="11" fillId="16" borderId="0" xfId="0" applyFont="1" applyFill="1" applyAlignment="1">
      <alignment horizontal="center"/>
    </xf>
    <xf numFmtId="0" fontId="11" fillId="18" borderId="16" xfId="0" applyFont="1" applyFill="1" applyBorder="1"/>
    <xf numFmtId="0" fontId="11" fillId="18" borderId="0" xfId="0" applyFont="1" applyFill="1"/>
    <xf numFmtId="0" fontId="7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18" borderId="0" xfId="0" applyFont="1" applyFill="1"/>
    <xf numFmtId="0" fontId="11" fillId="18" borderId="17" xfId="0" applyFont="1" applyFill="1" applyBorder="1"/>
    <xf numFmtId="0" fontId="38" fillId="18" borderId="0" xfId="0" applyFont="1" applyFill="1"/>
    <xf numFmtId="0" fontId="39" fillId="18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8" fillId="18" borderId="0" xfId="0" applyFont="1" applyFill="1"/>
    <xf numFmtId="164" fontId="8" fillId="18" borderId="0" xfId="0" applyNumberFormat="1" applyFont="1" applyFill="1" applyAlignment="1">
      <alignment horizontal="center" vertical="center"/>
    </xf>
    <xf numFmtId="0" fontId="3" fillId="18" borderId="0" xfId="0" applyFont="1" applyFill="1" applyAlignment="1">
      <alignment vertical="center"/>
    </xf>
    <xf numFmtId="0" fontId="11" fillId="18" borderId="0" xfId="0" applyFont="1" applyFill="1" applyAlignment="1">
      <alignment vertical="center"/>
    </xf>
    <xf numFmtId="0" fontId="0" fillId="18" borderId="16" xfId="0" applyFill="1" applyBorder="1"/>
    <xf numFmtId="0" fontId="1" fillId="18" borderId="0" xfId="0" applyFont="1" applyFill="1"/>
    <xf numFmtId="0" fontId="1" fillId="18" borderId="0" xfId="0" applyFont="1" applyFill="1" applyAlignment="1">
      <alignment vertical="center"/>
    </xf>
    <xf numFmtId="9" fontId="8" fillId="18" borderId="0" xfId="1" applyFont="1" applyFill="1" applyBorder="1" applyAlignment="1">
      <alignment horizontal="center" vertical="center"/>
    </xf>
    <xf numFmtId="2" fontId="11" fillId="18" borderId="3" xfId="0" applyNumberFormat="1" applyFont="1" applyFill="1" applyBorder="1" applyAlignment="1">
      <alignment horizontal="center" vertical="center"/>
    </xf>
    <xf numFmtId="0" fontId="11" fillId="18" borderId="14" xfId="0" applyFont="1" applyFill="1" applyBorder="1"/>
    <xf numFmtId="0" fontId="11" fillId="18" borderId="13" xfId="0" applyFont="1" applyFill="1" applyBorder="1"/>
    <xf numFmtId="0" fontId="11" fillId="18" borderId="15" xfId="0" applyFont="1" applyFill="1" applyBorder="1"/>
    <xf numFmtId="0" fontId="45" fillId="18" borderId="0" xfId="0" applyFont="1" applyFill="1" applyAlignment="1">
      <alignment horizontal="left" vertical="center" indent="1"/>
    </xf>
    <xf numFmtId="0" fontId="11" fillId="17" borderId="32" xfId="0" applyFont="1" applyFill="1" applyBorder="1" applyAlignment="1">
      <alignment horizontal="center"/>
    </xf>
    <xf numFmtId="0" fontId="7" fillId="17" borderId="32" xfId="0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0" fontId="7" fillId="17" borderId="2" xfId="0" applyFont="1" applyFill="1" applyBorder="1" applyAlignment="1">
      <alignment vertical="center"/>
    </xf>
    <xf numFmtId="0" fontId="7" fillId="17" borderId="1" xfId="0" applyFont="1" applyFill="1" applyBorder="1" applyAlignment="1">
      <alignment vertical="center"/>
    </xf>
    <xf numFmtId="0" fontId="11" fillId="17" borderId="1" xfId="0" applyFont="1" applyFill="1" applyBorder="1"/>
    <xf numFmtId="0" fontId="41" fillId="17" borderId="2" xfId="0" applyFont="1" applyFill="1" applyBorder="1" applyAlignment="1">
      <alignment horizontal="left" vertical="center" indent="1"/>
    </xf>
    <xf numFmtId="0" fontId="41" fillId="17" borderId="32" xfId="0" applyFont="1" applyFill="1" applyBorder="1" applyAlignment="1">
      <alignment horizontal="left" vertical="center" indent="1"/>
    </xf>
    <xf numFmtId="0" fontId="41" fillId="17" borderId="1" xfId="0" applyFont="1" applyFill="1" applyBorder="1" applyAlignment="1">
      <alignment horizontal="left" vertical="center" indent="1"/>
    </xf>
    <xf numFmtId="0" fontId="42" fillId="18" borderId="0" xfId="0" applyFont="1" applyFill="1" applyAlignment="1">
      <alignment horizontal="left" vertical="center" indent="1"/>
    </xf>
    <xf numFmtId="0" fontId="21" fillId="18" borderId="0" xfId="0" applyFont="1" applyFill="1" applyAlignment="1">
      <alignment horizontal="left" vertical="center" indent="1"/>
    </xf>
    <xf numFmtId="0" fontId="40" fillId="18" borderId="0" xfId="0" applyFont="1" applyFill="1" applyAlignment="1">
      <alignment horizontal="left" vertical="center" indent="1"/>
    </xf>
    <xf numFmtId="164" fontId="41" fillId="17" borderId="2" xfId="0" applyNumberFormat="1" applyFont="1" applyFill="1" applyBorder="1" applyAlignment="1">
      <alignment horizontal="left" vertical="center" indent="1"/>
    </xf>
    <xf numFmtId="0" fontId="21" fillId="18" borderId="0" xfId="0" applyFont="1" applyFill="1" applyAlignment="1">
      <alignment horizontal="left" indent="1"/>
    </xf>
    <xf numFmtId="0" fontId="7" fillId="17" borderId="32" xfId="0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horizontal="center" vertical="center"/>
    </xf>
    <xf numFmtId="0" fontId="16" fillId="19" borderId="2" xfId="0" applyFont="1" applyFill="1" applyBorder="1" applyAlignment="1">
      <alignment horizontal="right" vertical="center"/>
    </xf>
    <xf numFmtId="0" fontId="16" fillId="19" borderId="32" xfId="0" applyFont="1" applyFill="1" applyBorder="1" applyAlignment="1">
      <alignment horizontal="right" vertical="center"/>
    </xf>
    <xf numFmtId="0" fontId="11" fillId="19" borderId="1" xfId="0" applyFont="1" applyFill="1" applyBorder="1" applyAlignment="1">
      <alignment vertical="center"/>
    </xf>
    <xf numFmtId="0" fontId="16" fillId="19" borderId="3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vertical="center"/>
    </xf>
    <xf numFmtId="0" fontId="6" fillId="18" borderId="32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6" fillId="21" borderId="2" xfId="0" applyFont="1" applyFill="1" applyBorder="1" applyAlignment="1">
      <alignment vertical="center"/>
    </xf>
    <xf numFmtId="0" fontId="16" fillId="21" borderId="32" xfId="0" applyFont="1" applyFill="1" applyBorder="1" applyAlignment="1">
      <alignment vertical="center"/>
    </xf>
    <xf numFmtId="0" fontId="16" fillId="21" borderId="1" xfId="0" applyFont="1" applyFill="1" applyBorder="1" applyAlignment="1">
      <alignment vertical="center"/>
    </xf>
    <xf numFmtId="164" fontId="15" fillId="21" borderId="3" xfId="0" applyNumberFormat="1" applyFont="1" applyFill="1" applyBorder="1" applyAlignment="1">
      <alignment horizontal="center" vertical="center"/>
    </xf>
    <xf numFmtId="0" fontId="49" fillId="18" borderId="0" xfId="0" applyFont="1" applyFill="1"/>
    <xf numFmtId="0" fontId="13" fillId="16" borderId="0" xfId="0" applyFont="1" applyFill="1"/>
    <xf numFmtId="0" fontId="1" fillId="16" borderId="0" xfId="0" applyFont="1" applyFill="1"/>
    <xf numFmtId="0" fontId="13" fillId="16" borderId="0" xfId="0" applyFont="1" applyFill="1" applyAlignment="1">
      <alignment vertical="center"/>
    </xf>
    <xf numFmtId="0" fontId="21" fillId="16" borderId="0" xfId="0" applyFont="1" applyFill="1"/>
    <xf numFmtId="0" fontId="40" fillId="16" borderId="0" xfId="0" applyFont="1" applyFill="1"/>
    <xf numFmtId="0" fontId="50" fillId="16" borderId="0" xfId="0" applyFont="1" applyFill="1"/>
    <xf numFmtId="49" fontId="44" fillId="16" borderId="0" xfId="0" applyNumberFormat="1" applyFont="1" applyFill="1" applyAlignment="1">
      <alignment horizontal="left"/>
    </xf>
    <xf numFmtId="0" fontId="40" fillId="16" borderId="0" xfId="0" applyFont="1" applyFill="1" applyAlignment="1">
      <alignment horizontal="left"/>
    </xf>
    <xf numFmtId="49" fontId="40" fillId="16" borderId="0" xfId="0" applyNumberFormat="1" applyFont="1" applyFill="1" applyAlignment="1">
      <alignment horizontal="left"/>
    </xf>
    <xf numFmtId="0" fontId="42" fillId="17" borderId="12" xfId="0" applyFont="1" applyFill="1" applyBorder="1" applyAlignment="1">
      <alignment horizontal="left" vertical="center"/>
    </xf>
    <xf numFmtId="0" fontId="42" fillId="17" borderId="21" xfId="0" applyFont="1" applyFill="1" applyBorder="1" applyAlignment="1">
      <alignment horizontal="left" vertical="center"/>
    </xf>
    <xf numFmtId="0" fontId="51" fillId="17" borderId="11" xfId="0" applyFont="1" applyFill="1" applyBorder="1" applyAlignment="1">
      <alignment horizontal="left" vertical="center"/>
    </xf>
    <xf numFmtId="0" fontId="21" fillId="16" borderId="0" xfId="0" applyFont="1" applyFill="1" applyAlignment="1">
      <alignment vertical="center"/>
    </xf>
    <xf numFmtId="0" fontId="50" fillId="16" borderId="0" xfId="0" applyFont="1" applyFill="1" applyAlignment="1">
      <alignment vertical="center"/>
    </xf>
    <xf numFmtId="0" fontId="50" fillId="16" borderId="0" xfId="0" applyFont="1" applyFill="1" applyAlignment="1">
      <alignment horizontal="center" vertical="center"/>
    </xf>
    <xf numFmtId="0" fontId="52" fillId="16" borderId="0" xfId="33" applyFont="1" applyFill="1"/>
    <xf numFmtId="0" fontId="53" fillId="16" borderId="0" xfId="0" applyFont="1" applyFill="1"/>
    <xf numFmtId="0" fontId="42" fillId="17" borderId="12" xfId="0" applyFont="1" applyFill="1" applyBorder="1" applyAlignment="1">
      <alignment vertical="center"/>
    </xf>
    <xf numFmtId="0" fontId="42" fillId="17" borderId="21" xfId="0" applyFont="1" applyFill="1" applyBorder="1" applyAlignment="1">
      <alignment vertical="center"/>
    </xf>
    <xf numFmtId="0" fontId="51" fillId="17" borderId="11" xfId="0" applyFont="1" applyFill="1" applyBorder="1" applyAlignment="1">
      <alignment vertical="center"/>
    </xf>
    <xf numFmtId="0" fontId="42" fillId="17" borderId="11" xfId="0" applyFont="1" applyFill="1" applyBorder="1" applyAlignment="1">
      <alignment vertical="center"/>
    </xf>
    <xf numFmtId="0" fontId="44" fillId="16" borderId="19" xfId="0" applyFont="1" applyFill="1" applyBorder="1" applyAlignment="1">
      <alignment vertical="center"/>
    </xf>
    <xf numFmtId="0" fontId="44" fillId="16" borderId="20" xfId="0" applyFont="1" applyFill="1" applyBorder="1" applyAlignment="1">
      <alignment vertical="center"/>
    </xf>
    <xf numFmtId="0" fontId="44" fillId="16" borderId="27" xfId="0" applyFont="1" applyFill="1" applyBorder="1" applyAlignment="1">
      <alignment vertical="center"/>
    </xf>
    <xf numFmtId="0" fontId="44" fillId="16" borderId="16" xfId="0" applyFont="1" applyFill="1" applyBorder="1" applyAlignment="1">
      <alignment vertical="center"/>
    </xf>
    <xf numFmtId="0" fontId="44" fillId="16" borderId="17" xfId="0" applyFont="1" applyFill="1" applyBorder="1" applyAlignment="1">
      <alignment vertical="center"/>
    </xf>
    <xf numFmtId="0" fontId="44" fillId="16" borderId="29" xfId="0" applyFont="1" applyFill="1" applyBorder="1" applyAlignment="1">
      <alignment vertical="center"/>
    </xf>
    <xf numFmtId="0" fontId="44" fillId="16" borderId="13" xfId="0" applyFont="1" applyFill="1" applyBorder="1" applyAlignment="1">
      <alignment vertical="center"/>
    </xf>
    <xf numFmtId="0" fontId="44" fillId="16" borderId="15" xfId="0" applyFont="1" applyFill="1" applyBorder="1" applyAlignment="1">
      <alignment vertical="center"/>
    </xf>
    <xf numFmtId="0" fontId="44" fillId="16" borderId="28" xfId="0" applyFont="1" applyFill="1" applyBorder="1" applyAlignment="1">
      <alignment vertical="center"/>
    </xf>
    <xf numFmtId="0" fontId="1" fillId="16" borderId="0" xfId="0" applyFont="1" applyFill="1" applyAlignment="1">
      <alignment horizontal="center"/>
    </xf>
    <xf numFmtId="0" fontId="43" fillId="16" borderId="19" xfId="0" applyFont="1" applyFill="1" applyBorder="1" applyAlignment="1">
      <alignment vertical="center"/>
    </xf>
    <xf numFmtId="0" fontId="43" fillId="16" borderId="18" xfId="0" applyFont="1" applyFill="1" applyBorder="1" applyAlignment="1">
      <alignment vertical="center"/>
    </xf>
    <xf numFmtId="167" fontId="43" fillId="16" borderId="19" xfId="0" applyNumberFormat="1" applyFont="1" applyFill="1" applyBorder="1" applyAlignment="1">
      <alignment horizontal="left" vertical="center"/>
    </xf>
    <xf numFmtId="0" fontId="43" fillId="16" borderId="16" xfId="0" applyFont="1" applyFill="1" applyBorder="1" applyAlignment="1">
      <alignment horizontal="left" vertical="center"/>
    </xf>
    <xf numFmtId="0" fontId="43" fillId="16" borderId="0" xfId="0" applyFont="1" applyFill="1" applyAlignment="1">
      <alignment horizontal="left" vertical="center"/>
    </xf>
    <xf numFmtId="167" fontId="43" fillId="16" borderId="16" xfId="0" applyNumberFormat="1" applyFont="1" applyFill="1" applyBorder="1" applyAlignment="1">
      <alignment horizontal="left" vertical="center"/>
    </xf>
    <xf numFmtId="0" fontId="43" fillId="16" borderId="13" xfId="0" applyFont="1" applyFill="1" applyBorder="1" applyAlignment="1">
      <alignment horizontal="left" vertical="center"/>
    </xf>
    <xf numFmtId="0" fontId="43" fillId="16" borderId="14" xfId="0" applyFont="1" applyFill="1" applyBorder="1" applyAlignment="1">
      <alignment horizontal="left" vertical="center"/>
    </xf>
    <xf numFmtId="167" fontId="43" fillId="16" borderId="13" xfId="0" applyNumberFormat="1" applyFont="1" applyFill="1" applyBorder="1" applyAlignment="1">
      <alignment horizontal="left" vertical="center"/>
    </xf>
    <xf numFmtId="0" fontId="43" fillId="16" borderId="20" xfId="0" applyFont="1" applyFill="1" applyBorder="1" applyAlignment="1">
      <alignment vertical="center"/>
    </xf>
    <xf numFmtId="167" fontId="43" fillId="16" borderId="18" xfId="0" applyNumberFormat="1" applyFont="1" applyFill="1" applyBorder="1" applyAlignment="1">
      <alignment horizontal="left" vertical="center"/>
    </xf>
    <xf numFmtId="0" fontId="43" fillId="16" borderId="17" xfId="0" applyFont="1" applyFill="1" applyBorder="1" applyAlignment="1">
      <alignment horizontal="left" vertical="center"/>
    </xf>
    <xf numFmtId="167" fontId="43" fillId="16" borderId="0" xfId="0" applyNumberFormat="1" applyFont="1" applyFill="1" applyAlignment="1">
      <alignment horizontal="left" vertical="center"/>
    </xf>
    <xf numFmtId="0" fontId="43" fillId="16" borderId="15" xfId="0" applyFont="1" applyFill="1" applyBorder="1" applyAlignment="1">
      <alignment horizontal="left" vertical="center"/>
    </xf>
    <xf numFmtId="0" fontId="54" fillId="14" borderId="0" xfId="30" applyFont="1" applyFill="1"/>
    <xf numFmtId="0" fontId="23" fillId="19" borderId="0" xfId="30" applyFont="1" applyFill="1" applyAlignment="1">
      <alignment horizontal="center" vertical="center" wrapText="1"/>
    </xf>
    <xf numFmtId="167" fontId="23" fillId="19" borderId="0" xfId="31" applyNumberFormat="1" applyFont="1" applyFill="1" applyAlignment="1">
      <alignment horizontal="center" vertical="center" wrapText="1"/>
    </xf>
    <xf numFmtId="0" fontId="54" fillId="14" borderId="0" xfId="30" applyFont="1" applyFill="1" applyAlignment="1">
      <alignment vertical="center"/>
    </xf>
    <xf numFmtId="0" fontId="55" fillId="14" borderId="0" xfId="30" applyFont="1" applyFill="1" applyAlignment="1">
      <alignment vertical="center"/>
    </xf>
    <xf numFmtId="0" fontId="56" fillId="14" borderId="0" xfId="30" applyFont="1" applyFill="1" applyAlignment="1">
      <alignment vertical="center"/>
    </xf>
    <xf numFmtId="167" fontId="56" fillId="14" borderId="0" xfId="31" applyNumberFormat="1" applyFont="1" applyFill="1" applyAlignment="1">
      <alignment vertical="center"/>
    </xf>
    <xf numFmtId="0" fontId="28" fillId="16" borderId="0" xfId="30" applyFill="1"/>
    <xf numFmtId="167" fontId="0" fillId="16" borderId="0" xfId="31" applyNumberFormat="1" applyFont="1" applyFill="1"/>
    <xf numFmtId="0" fontId="57" fillId="14" borderId="0" xfId="30" applyFont="1" applyFill="1"/>
    <xf numFmtId="0" fontId="43" fillId="14" borderId="0" xfId="30" applyFont="1" applyFill="1"/>
    <xf numFmtId="0" fontId="58" fillId="14" borderId="0" xfId="30" applyFont="1" applyFill="1" applyAlignment="1">
      <alignment horizontal="left"/>
    </xf>
    <xf numFmtId="164" fontId="21" fillId="14" borderId="0" xfId="30" applyNumberFormat="1" applyFont="1" applyFill="1"/>
    <xf numFmtId="0" fontId="58" fillId="14" borderId="14" xfId="30" applyFont="1" applyFill="1" applyBorder="1" applyAlignment="1">
      <alignment horizontal="left"/>
    </xf>
    <xf numFmtId="164" fontId="21" fillId="14" borderId="14" xfId="30" applyNumberFormat="1" applyFont="1" applyFill="1" applyBorder="1"/>
    <xf numFmtId="0" fontId="58" fillId="14" borderId="0" xfId="30" applyFont="1" applyFill="1"/>
    <xf numFmtId="2" fontId="43" fillId="14" borderId="0" xfId="30" applyNumberFormat="1" applyFont="1" applyFill="1"/>
    <xf numFmtId="44" fontId="43" fillId="14" borderId="0" xfId="32" applyFont="1" applyFill="1"/>
    <xf numFmtId="1" fontId="43" fillId="14" borderId="0" xfId="30" applyNumberFormat="1" applyFont="1" applyFill="1"/>
    <xf numFmtId="44" fontId="60" fillId="15" borderId="19" xfId="32" applyFont="1" applyFill="1" applyBorder="1" applyAlignment="1"/>
    <xf numFmtId="44" fontId="43" fillId="15" borderId="18" xfId="32" applyFont="1" applyFill="1" applyBorder="1" applyAlignment="1"/>
    <xf numFmtId="167" fontId="43" fillId="15" borderId="18" xfId="31" applyNumberFormat="1" applyFont="1" applyFill="1" applyBorder="1" applyAlignment="1"/>
    <xf numFmtId="0" fontId="43" fillId="15" borderId="18" xfId="30" applyFont="1" applyFill="1" applyBorder="1"/>
    <xf numFmtId="167" fontId="43" fillId="15" borderId="20" xfId="31" applyNumberFormat="1" applyFont="1" applyFill="1" applyBorder="1" applyAlignment="1"/>
    <xf numFmtId="0" fontId="44" fillId="14" borderId="0" xfId="30" applyFont="1" applyFill="1"/>
    <xf numFmtId="49" fontId="43" fillId="14" borderId="0" xfId="32" applyNumberFormat="1" applyFont="1" applyFill="1"/>
    <xf numFmtId="49" fontId="44" fillId="14" borderId="0" xfId="32" applyNumberFormat="1" applyFont="1" applyFill="1"/>
    <xf numFmtId="49" fontId="44" fillId="14" borderId="0" xfId="31" applyNumberFormat="1" applyFont="1" applyFill="1"/>
    <xf numFmtId="49" fontId="44" fillId="14" borderId="0" xfId="30" applyNumberFormat="1" applyFont="1" applyFill="1"/>
    <xf numFmtId="0" fontId="46" fillId="17" borderId="0" xfId="30" applyFont="1" applyFill="1" applyAlignment="1">
      <alignment horizontal="center" vertical="center"/>
    </xf>
    <xf numFmtId="0" fontId="46" fillId="17" borderId="19" xfId="30" applyFont="1" applyFill="1" applyBorder="1" applyAlignment="1">
      <alignment horizontal="center" vertical="center" wrapText="1"/>
    </xf>
    <xf numFmtId="2" fontId="46" fillId="17" borderId="20" xfId="30" applyNumberFormat="1" applyFont="1" applyFill="1" applyBorder="1" applyAlignment="1">
      <alignment horizontal="center" vertical="center" wrapText="1"/>
    </xf>
    <xf numFmtId="44" fontId="46" fillId="17" borderId="27" xfId="32" applyFont="1" applyFill="1" applyBorder="1" applyAlignment="1">
      <alignment horizontal="center" vertical="center" wrapText="1"/>
    </xf>
    <xf numFmtId="1" fontId="46" fillId="17" borderId="0" xfId="30" applyNumberFormat="1" applyFont="1" applyFill="1" applyAlignment="1">
      <alignment horizontal="center" vertical="center"/>
    </xf>
    <xf numFmtId="44" fontId="46" fillId="17" borderId="0" xfId="32" applyFont="1" applyFill="1" applyBorder="1" applyAlignment="1">
      <alignment horizontal="center" vertical="center" wrapText="1"/>
    </xf>
    <xf numFmtId="0" fontId="46" fillId="17" borderId="16" xfId="30" applyFont="1" applyFill="1" applyBorder="1" applyAlignment="1">
      <alignment horizontal="center" vertical="center" wrapText="1"/>
    </xf>
    <xf numFmtId="44" fontId="46" fillId="17" borderId="17" xfId="32" applyFont="1" applyFill="1" applyBorder="1" applyAlignment="1">
      <alignment horizontal="center" vertical="center" wrapText="1"/>
    </xf>
    <xf numFmtId="44" fontId="46" fillId="17" borderId="30" xfId="32" applyFont="1" applyFill="1" applyBorder="1" applyAlignment="1">
      <alignment horizontal="center" vertical="center" wrapText="1"/>
    </xf>
    <xf numFmtId="44" fontId="46" fillId="17" borderId="16" xfId="32" applyFont="1" applyFill="1" applyBorder="1" applyAlignment="1">
      <alignment horizontal="center" vertical="center" wrapText="1"/>
    </xf>
    <xf numFmtId="167" fontId="46" fillId="17" borderId="17" xfId="31" applyNumberFormat="1" applyFont="1" applyFill="1" applyBorder="1" applyAlignment="1">
      <alignment horizontal="center" vertical="center" wrapText="1"/>
    </xf>
    <xf numFmtId="167" fontId="46" fillId="17" borderId="0" xfId="31" applyNumberFormat="1" applyFont="1" applyFill="1" applyBorder="1" applyAlignment="1">
      <alignment horizontal="center" vertical="center" wrapText="1"/>
    </xf>
    <xf numFmtId="44" fontId="46" fillId="17" borderId="19" xfId="32" applyFont="1" applyFill="1" applyBorder="1" applyAlignment="1">
      <alignment horizontal="center" vertical="center" wrapText="1"/>
    </xf>
    <xf numFmtId="0" fontId="46" fillId="17" borderId="18" xfId="30" applyFont="1" applyFill="1" applyBorder="1" applyAlignment="1">
      <alignment horizontal="center" vertical="center" wrapText="1"/>
    </xf>
    <xf numFmtId="167" fontId="46" fillId="17" borderId="18" xfId="31" applyNumberFormat="1" applyFont="1" applyFill="1" applyBorder="1" applyAlignment="1">
      <alignment horizontal="center" vertical="center" wrapText="1"/>
    </xf>
    <xf numFmtId="167" fontId="46" fillId="17" borderId="20" xfId="31" applyNumberFormat="1" applyFont="1" applyFill="1" applyBorder="1" applyAlignment="1">
      <alignment horizontal="center" vertical="center" wrapText="1"/>
    </xf>
    <xf numFmtId="2" fontId="35" fillId="16" borderId="0" xfId="30" applyNumberFormat="1" applyFont="1" applyFill="1"/>
    <xf numFmtId="44" fontId="35" fillId="16" borderId="0" xfId="32" applyFont="1" applyFill="1"/>
    <xf numFmtId="1" fontId="35" fillId="16" borderId="0" xfId="30" applyNumberFormat="1" applyFont="1" applyFill="1"/>
    <xf numFmtId="0" fontId="35" fillId="16" borderId="0" xfId="30" applyFont="1" applyFill="1"/>
    <xf numFmtId="10" fontId="35" fillId="16" borderId="0" xfId="30" applyNumberFormat="1" applyFont="1" applyFill="1"/>
    <xf numFmtId="167" fontId="35" fillId="16" borderId="0" xfId="31" applyNumberFormat="1" applyFont="1" applyFill="1"/>
    <xf numFmtId="2" fontId="28" fillId="16" borderId="0" xfId="30" applyNumberFormat="1" applyFill="1"/>
    <xf numFmtId="44" fontId="0" fillId="16" borderId="0" xfId="32" applyFont="1" applyFill="1"/>
    <xf numFmtId="1" fontId="28" fillId="16" borderId="0" xfId="30" applyNumberFormat="1" applyFill="1"/>
    <xf numFmtId="0" fontId="59" fillId="19" borderId="10" xfId="30" applyFont="1" applyFill="1" applyBorder="1" applyAlignment="1">
      <alignment vertical="center"/>
    </xf>
    <xf numFmtId="0" fontId="61" fillId="14" borderId="31" xfId="30" applyFont="1" applyFill="1" applyBorder="1" applyAlignment="1">
      <alignment vertical="center"/>
    </xf>
    <xf numFmtId="0" fontId="61" fillId="14" borderId="26" xfId="30" applyFont="1" applyFill="1" applyBorder="1" applyAlignment="1">
      <alignment vertical="center"/>
    </xf>
    <xf numFmtId="0" fontId="28" fillId="14" borderId="26" xfId="30" applyFill="1" applyBorder="1" applyAlignment="1">
      <alignment vertical="center"/>
    </xf>
    <xf numFmtId="0" fontId="41" fillId="18" borderId="0" xfId="0" applyFont="1" applyFill="1" applyAlignment="1">
      <alignment horizontal="left" vertical="center" indent="1"/>
    </xf>
    <xf numFmtId="0" fontId="58" fillId="18" borderId="0" xfId="0" applyFont="1" applyFill="1" applyAlignment="1">
      <alignment horizontal="left" vertical="center" indent="1"/>
    </xf>
    <xf numFmtId="0" fontId="1" fillId="18" borderId="0" xfId="0" applyFont="1" applyFill="1" applyAlignment="1">
      <alignment horizontal="left" indent="1"/>
    </xf>
    <xf numFmtId="0" fontId="7" fillId="18" borderId="0" xfId="0" applyFont="1" applyFill="1" applyAlignment="1">
      <alignment horizontal="left" vertical="center" indent="1"/>
    </xf>
    <xf numFmtId="0" fontId="7" fillId="17" borderId="32" xfId="0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vertical="center" indent="1"/>
    </xf>
    <xf numFmtId="0" fontId="35" fillId="19" borderId="0" xfId="0" applyFont="1" applyFill="1" applyAlignment="1">
      <alignment horizontal="center" vertical="center"/>
    </xf>
    <xf numFmtId="0" fontId="25" fillId="19" borderId="0" xfId="0" applyFont="1" applyFill="1" applyAlignment="1">
      <alignment horizontal="center" vertical="center"/>
    </xf>
    <xf numFmtId="0" fontId="35" fillId="19" borderId="0" xfId="0" applyFont="1" applyFill="1" applyAlignment="1">
      <alignment horizontal="center" vertical="center" wrapText="1"/>
    </xf>
    <xf numFmtId="2" fontId="35" fillId="19" borderId="0" xfId="0" applyNumberFormat="1" applyFont="1" applyFill="1"/>
    <xf numFmtId="44" fontId="35" fillId="19" borderId="0" xfId="0" applyNumberFormat="1" applyFont="1" applyFill="1" applyAlignment="1">
      <alignment horizontal="center" vertical="center"/>
    </xf>
    <xf numFmtId="1" fontId="35" fillId="19" borderId="0" xfId="0" applyNumberFormat="1" applyFont="1" applyFill="1" applyAlignment="1">
      <alignment horizontal="center" vertical="center"/>
    </xf>
    <xf numFmtId="170" fontId="35" fillId="19" borderId="0" xfId="0" applyNumberFormat="1" applyFont="1" applyFill="1" applyAlignment="1">
      <alignment horizontal="center" vertical="center"/>
    </xf>
    <xf numFmtId="167" fontId="35" fillId="19" borderId="0" xfId="0" applyNumberFormat="1" applyFont="1" applyFill="1" applyAlignment="1">
      <alignment horizontal="center" vertical="center"/>
    </xf>
    <xf numFmtId="167" fontId="25" fillId="19" borderId="0" xfId="0" applyNumberFormat="1" applyFont="1" applyFill="1" applyAlignment="1">
      <alignment horizontal="center"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0" fontId="21" fillId="0" borderId="0" xfId="0" applyFont="1"/>
    <xf numFmtId="0" fontId="50" fillId="0" borderId="0" xfId="0" applyFont="1"/>
    <xf numFmtId="0" fontId="52" fillId="16" borderId="0" xfId="33" applyFont="1" applyFill="1" applyAlignment="1"/>
    <xf numFmtId="0" fontId="58" fillId="16" borderId="0" xfId="0" applyFont="1" applyFill="1"/>
    <xf numFmtId="0" fontId="42" fillId="17" borderId="18" xfId="0" applyFont="1" applyFill="1" applyBorder="1" applyAlignment="1">
      <alignment vertical="center"/>
    </xf>
    <xf numFmtId="0" fontId="51" fillId="17" borderId="20" xfId="0" applyFont="1" applyFill="1" applyBorder="1" applyAlignment="1">
      <alignment vertical="center"/>
    </xf>
    <xf numFmtId="0" fontId="42" fillId="17" borderId="19" xfId="0" applyFont="1" applyFill="1" applyBorder="1" applyAlignment="1">
      <alignment vertical="center"/>
    </xf>
    <xf numFmtId="0" fontId="43" fillId="16" borderId="16" xfId="0" applyFont="1" applyFill="1" applyBorder="1" applyAlignment="1">
      <alignment vertical="center"/>
    </xf>
    <xf numFmtId="0" fontId="43" fillId="16" borderId="0" xfId="0" applyFont="1" applyFill="1" applyAlignment="1">
      <alignment vertical="center"/>
    </xf>
    <xf numFmtId="0" fontId="42" fillId="17" borderId="20" xfId="0" applyFont="1" applyFill="1" applyBorder="1" applyAlignment="1">
      <alignment vertical="center"/>
    </xf>
    <xf numFmtId="0" fontId="1" fillId="14" borderId="0" xfId="0" applyFont="1" applyFill="1"/>
    <xf numFmtId="0" fontId="1" fillId="14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1" fillId="14" borderId="0" xfId="0" applyFont="1" applyFill="1"/>
    <xf numFmtId="0" fontId="50" fillId="14" borderId="0" xfId="0" applyFont="1" applyFill="1"/>
    <xf numFmtId="0" fontId="21" fillId="14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62" fillId="0" borderId="0" xfId="0" applyFont="1"/>
    <xf numFmtId="0" fontId="1" fillId="0" borderId="0" xfId="0" applyFont="1" applyAlignment="1">
      <alignment vertical="center"/>
    </xf>
    <xf numFmtId="0" fontId="62" fillId="14" borderId="0" xfId="0" applyFont="1" applyFill="1"/>
    <xf numFmtId="0" fontId="1" fillId="18" borderId="0" xfId="0" applyFont="1" applyFill="1" applyAlignment="1">
      <alignment horizontal="center"/>
    </xf>
    <xf numFmtId="0" fontId="58" fillId="14" borderId="1" xfId="0" applyFont="1" applyFill="1" applyBorder="1" applyAlignment="1">
      <alignment horizontal="center" vertical="center"/>
    </xf>
    <xf numFmtId="0" fontId="63" fillId="18" borderId="0" xfId="0" applyFont="1" applyFill="1" applyAlignment="1">
      <alignment horizontal="center"/>
    </xf>
    <xf numFmtId="164" fontId="6" fillId="18" borderId="0" xfId="0" applyNumberFormat="1" applyFont="1" applyFill="1" applyAlignment="1">
      <alignment horizontal="center"/>
    </xf>
    <xf numFmtId="168" fontId="6" fillId="14" borderId="2" xfId="0" applyNumberFormat="1" applyFont="1" applyFill="1" applyBorder="1" applyAlignment="1">
      <alignment horizontal="right" vertical="center"/>
    </xf>
    <xf numFmtId="9" fontId="6" fillId="18" borderId="0" xfId="1" applyFont="1" applyFill="1" applyBorder="1" applyAlignment="1">
      <alignment horizontal="center" vertical="center"/>
    </xf>
    <xf numFmtId="0" fontId="46" fillId="17" borderId="1" xfId="0" applyFont="1" applyFill="1" applyBorder="1" applyAlignment="1">
      <alignment horizontal="center" vertical="center"/>
    </xf>
    <xf numFmtId="164" fontId="65" fillId="14" borderId="2" xfId="0" applyNumberFormat="1" applyFont="1" applyFill="1" applyBorder="1" applyAlignment="1">
      <alignment horizontal="right" vertical="center"/>
    </xf>
    <xf numFmtId="171" fontId="6" fillId="14" borderId="32" xfId="0" applyNumberFormat="1" applyFont="1" applyFill="1" applyBorder="1" applyAlignment="1">
      <alignment horizontal="center" vertical="center"/>
    </xf>
    <xf numFmtId="0" fontId="44" fillId="16" borderId="0" xfId="0" applyFont="1" applyFill="1"/>
    <xf numFmtId="49" fontId="43" fillId="16" borderId="0" xfId="0" applyNumberFormat="1" applyFont="1" applyFill="1" applyAlignment="1">
      <alignment horizontal="left" vertical="center"/>
    </xf>
    <xf numFmtId="0" fontId="44" fillId="16" borderId="0" xfId="0" applyFont="1" applyFill="1" applyAlignment="1">
      <alignment vertical="center"/>
    </xf>
    <xf numFmtId="0" fontId="44" fillId="14" borderId="0" xfId="0" applyFont="1" applyFill="1"/>
    <xf numFmtId="0" fontId="43" fillId="16" borderId="0" xfId="0" applyFont="1" applyFill="1" applyAlignment="1">
      <alignment horizontal="right" vertical="center"/>
    </xf>
    <xf numFmtId="10" fontId="43" fillId="16" borderId="3" xfId="1" applyNumberFormat="1" applyFont="1" applyFill="1" applyBorder="1" applyAlignment="1">
      <alignment horizontal="center" vertical="center"/>
    </xf>
    <xf numFmtId="0" fontId="11" fillId="22" borderId="0" xfId="0" applyFont="1" applyFill="1"/>
    <xf numFmtId="0" fontId="1" fillId="22" borderId="0" xfId="0" applyFont="1" applyFill="1" applyAlignment="1">
      <alignment horizontal="center"/>
    </xf>
    <xf numFmtId="0" fontId="1" fillId="22" borderId="0" xfId="0" applyFont="1" applyFill="1"/>
    <xf numFmtId="0" fontId="46" fillId="17" borderId="2" xfId="0" applyFont="1" applyFill="1" applyBorder="1" applyAlignment="1">
      <alignment horizontal="right" vertical="center"/>
    </xf>
    <xf numFmtId="168" fontId="66" fillId="19" borderId="2" xfId="0" applyNumberFormat="1" applyFont="1" applyFill="1" applyBorder="1" applyAlignment="1">
      <alignment horizontal="right" vertical="center"/>
    </xf>
    <xf numFmtId="0" fontId="44" fillId="16" borderId="0" xfId="0" applyFont="1" applyFill="1" applyAlignment="1">
      <alignment horizontal="center" vertical="center"/>
    </xf>
    <xf numFmtId="169" fontId="1" fillId="18" borderId="0" xfId="0" applyNumberFormat="1" applyFont="1" applyFill="1" applyAlignment="1">
      <alignment horizontal="left" vertical="center" indent="2"/>
    </xf>
    <xf numFmtId="169" fontId="1" fillId="18" borderId="0" xfId="0" applyNumberFormat="1" applyFont="1" applyFill="1" applyAlignment="1">
      <alignment horizontal="left" indent="2"/>
    </xf>
    <xf numFmtId="168" fontId="6" fillId="20" borderId="2" xfId="0" applyNumberFormat="1" applyFont="1" applyFill="1" applyBorder="1" applyAlignment="1">
      <alignment horizontal="right" vertical="center"/>
    </xf>
    <xf numFmtId="168" fontId="67" fillId="23" borderId="2" xfId="0" applyNumberFormat="1" applyFont="1" applyFill="1" applyBorder="1" applyAlignment="1">
      <alignment horizontal="right" vertical="center"/>
    </xf>
    <xf numFmtId="167" fontId="43" fillId="16" borderId="14" xfId="0" applyNumberFormat="1" applyFont="1" applyFill="1" applyBorder="1" applyAlignment="1">
      <alignment horizontal="left" vertical="center"/>
    </xf>
    <xf numFmtId="44" fontId="23" fillId="0" borderId="16" xfId="34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indent="2"/>
    </xf>
    <xf numFmtId="0" fontId="22" fillId="0" borderId="0" xfId="0" applyFont="1" applyAlignment="1">
      <alignment horizontal="center" vertical="center"/>
    </xf>
    <xf numFmtId="44" fontId="28" fillId="0" borderId="0" xfId="0" applyNumberFormat="1" applyFont="1" applyAlignment="1">
      <alignment horizontal="center" vertical="center"/>
    </xf>
    <xf numFmtId="167" fontId="28" fillId="0" borderId="0" xfId="0" applyNumberFormat="1" applyFont="1" applyAlignment="1">
      <alignment horizontal="center" vertical="center"/>
    </xf>
    <xf numFmtId="164" fontId="6" fillId="14" borderId="2" xfId="0" applyNumberFormat="1" applyFont="1" applyFill="1" applyBorder="1" applyAlignment="1">
      <alignment horizontal="center" vertical="center"/>
    </xf>
    <xf numFmtId="164" fontId="6" fillId="14" borderId="32" xfId="0" applyNumberFormat="1" applyFont="1" applyFill="1" applyBorder="1" applyAlignment="1">
      <alignment horizontal="center" vertical="center"/>
    </xf>
    <xf numFmtId="164" fontId="6" fillId="14" borderId="1" xfId="0" applyNumberFormat="1" applyFont="1" applyFill="1" applyBorder="1" applyAlignment="1">
      <alignment horizontal="center" vertical="center"/>
    </xf>
    <xf numFmtId="49" fontId="6" fillId="14" borderId="2" xfId="0" applyNumberFormat="1" applyFont="1" applyFill="1" applyBorder="1" applyAlignment="1">
      <alignment horizontal="center" vertical="center"/>
    </xf>
    <xf numFmtId="49" fontId="6" fillId="14" borderId="32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0" fontId="47" fillId="17" borderId="19" xfId="0" applyFont="1" applyFill="1" applyBorder="1" applyAlignment="1">
      <alignment horizontal="center"/>
    </xf>
    <xf numFmtId="0" fontId="47" fillId="17" borderId="18" xfId="0" applyFont="1" applyFill="1" applyBorder="1" applyAlignment="1">
      <alignment horizontal="center"/>
    </xf>
    <xf numFmtId="0" fontId="47" fillId="17" borderId="20" xfId="0" applyFont="1" applyFill="1" applyBorder="1" applyAlignment="1">
      <alignment horizontal="center"/>
    </xf>
    <xf numFmtId="0" fontId="48" fillId="17" borderId="16" xfId="0" applyFont="1" applyFill="1" applyBorder="1" applyAlignment="1">
      <alignment horizontal="center" vertical="top"/>
    </xf>
    <xf numFmtId="0" fontId="48" fillId="17" borderId="0" xfId="0" applyFont="1" applyFill="1" applyAlignment="1">
      <alignment horizontal="center" vertical="top"/>
    </xf>
    <xf numFmtId="0" fontId="48" fillId="17" borderId="17" xfId="0" applyFont="1" applyFill="1" applyBorder="1" applyAlignment="1">
      <alignment horizontal="center" vertical="top"/>
    </xf>
    <xf numFmtId="10" fontId="6" fillId="14" borderId="2" xfId="1" applyNumberFormat="1" applyFont="1" applyFill="1" applyBorder="1" applyAlignment="1">
      <alignment horizontal="center" vertical="center"/>
    </xf>
    <xf numFmtId="10" fontId="6" fillId="14" borderId="32" xfId="1" applyNumberFormat="1" applyFont="1" applyFill="1" applyBorder="1" applyAlignment="1">
      <alignment horizontal="center" vertical="center"/>
    </xf>
    <xf numFmtId="10" fontId="6" fillId="14" borderId="1" xfId="1" applyNumberFormat="1" applyFont="1" applyFill="1" applyBorder="1" applyAlignment="1">
      <alignment horizontal="center" vertical="center"/>
    </xf>
    <xf numFmtId="169" fontId="6" fillId="14" borderId="32" xfId="0" applyNumberFormat="1" applyFont="1" applyFill="1" applyBorder="1" applyAlignment="1">
      <alignment horizontal="left" vertical="center" indent="2"/>
    </xf>
    <xf numFmtId="169" fontId="6" fillId="14" borderId="1" xfId="0" applyNumberFormat="1" applyFont="1" applyFill="1" applyBorder="1" applyAlignment="1">
      <alignment horizontal="left" vertical="center" indent="2"/>
    </xf>
    <xf numFmtId="0" fontId="41" fillId="17" borderId="2" xfId="0" applyFont="1" applyFill="1" applyBorder="1" applyAlignment="1">
      <alignment horizontal="left" vertical="center" indent="1"/>
    </xf>
    <xf numFmtId="0" fontId="41" fillId="17" borderId="32" xfId="0" applyFont="1" applyFill="1" applyBorder="1" applyAlignment="1">
      <alignment horizontal="left" vertical="center" indent="1"/>
    </xf>
    <xf numFmtId="0" fontId="41" fillId="17" borderId="1" xfId="0" applyFont="1" applyFill="1" applyBorder="1" applyAlignment="1">
      <alignment horizontal="left" vertical="center" indent="1"/>
    </xf>
    <xf numFmtId="0" fontId="46" fillId="17" borderId="2" xfId="0" applyFont="1" applyFill="1" applyBorder="1" applyAlignment="1">
      <alignment horizontal="center" vertical="center"/>
    </xf>
    <xf numFmtId="0" fontId="46" fillId="17" borderId="1" xfId="0" applyFont="1" applyFill="1" applyBorder="1" applyAlignment="1">
      <alignment horizontal="center" vertical="center"/>
    </xf>
    <xf numFmtId="166" fontId="6" fillId="20" borderId="32" xfId="0" applyNumberFormat="1" applyFont="1" applyFill="1" applyBorder="1" applyAlignment="1">
      <alignment horizontal="center" vertical="center"/>
    </xf>
    <xf numFmtId="166" fontId="6" fillId="20" borderId="1" xfId="0" applyNumberFormat="1" applyFont="1" applyFill="1" applyBorder="1" applyAlignment="1">
      <alignment horizontal="center" vertical="center"/>
    </xf>
    <xf numFmtId="4" fontId="6" fillId="20" borderId="32" xfId="0" applyNumberFormat="1" applyFont="1" applyFill="1" applyBorder="1" applyAlignment="1">
      <alignment horizontal="center" vertical="center"/>
    </xf>
    <xf numFmtId="4" fontId="6" fillId="20" borderId="1" xfId="0" applyNumberFormat="1" applyFont="1" applyFill="1" applyBorder="1" applyAlignment="1">
      <alignment horizontal="center" vertical="center"/>
    </xf>
    <xf numFmtId="4" fontId="67" fillId="23" borderId="32" xfId="0" applyNumberFormat="1" applyFont="1" applyFill="1" applyBorder="1" applyAlignment="1">
      <alignment horizontal="center" vertical="center"/>
    </xf>
    <xf numFmtId="4" fontId="67" fillId="23" borderId="1" xfId="0" applyNumberFormat="1" applyFont="1" applyFill="1" applyBorder="1" applyAlignment="1">
      <alignment horizontal="center" vertical="center"/>
    </xf>
    <xf numFmtId="4" fontId="6" fillId="14" borderId="32" xfId="0" applyNumberFormat="1" applyFont="1" applyFill="1" applyBorder="1" applyAlignment="1">
      <alignment horizontal="center" vertical="center"/>
    </xf>
    <xf numFmtId="4" fontId="6" fillId="14" borderId="1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right" vertical="center"/>
    </xf>
    <xf numFmtId="0" fontId="41" fillId="17" borderId="2" xfId="0" applyFont="1" applyFill="1" applyBorder="1" applyAlignment="1">
      <alignment horizontal="left" vertical="center" wrapText="1" indent="1"/>
    </xf>
    <xf numFmtId="166" fontId="6" fillId="14" borderId="2" xfId="1" applyNumberFormat="1" applyFont="1" applyFill="1" applyBorder="1" applyAlignment="1">
      <alignment horizontal="center" vertical="center"/>
    </xf>
    <xf numFmtId="166" fontId="6" fillId="14" borderId="32" xfId="1" applyNumberFormat="1" applyFont="1" applyFill="1" applyBorder="1" applyAlignment="1">
      <alignment horizontal="center" vertical="center"/>
    </xf>
    <xf numFmtId="166" fontId="6" fillId="14" borderId="1" xfId="1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left" vertical="center"/>
    </xf>
    <xf numFmtId="0" fontId="6" fillId="20" borderId="32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167" fontId="6" fillId="14" borderId="2" xfId="1" applyNumberFormat="1" applyFont="1" applyFill="1" applyBorder="1" applyAlignment="1">
      <alignment horizontal="center" vertical="center"/>
    </xf>
    <xf numFmtId="167" fontId="6" fillId="14" borderId="1" xfId="1" applyNumberFormat="1" applyFont="1" applyFill="1" applyBorder="1" applyAlignment="1">
      <alignment horizontal="center" vertical="center"/>
    </xf>
    <xf numFmtId="10" fontId="66" fillId="19" borderId="2" xfId="1" applyNumberFormat="1" applyFont="1" applyFill="1" applyBorder="1" applyAlignment="1">
      <alignment horizontal="center" vertical="center"/>
    </xf>
    <xf numFmtId="10" fontId="66" fillId="19" borderId="1" xfId="1" applyNumberFormat="1" applyFont="1" applyFill="1" applyBorder="1" applyAlignment="1">
      <alignment horizontal="center" vertical="center"/>
    </xf>
    <xf numFmtId="4" fontId="66" fillId="19" borderId="32" xfId="0" applyNumberFormat="1" applyFont="1" applyFill="1" applyBorder="1" applyAlignment="1">
      <alignment horizontal="center" vertical="center"/>
    </xf>
    <xf numFmtId="4" fontId="66" fillId="19" borderId="1" xfId="0" applyNumberFormat="1" applyFont="1" applyFill="1" applyBorder="1" applyAlignment="1">
      <alignment horizontal="center" vertical="center"/>
    </xf>
    <xf numFmtId="4" fontId="65" fillId="14" borderId="32" xfId="0" applyNumberFormat="1" applyFont="1" applyFill="1" applyBorder="1" applyAlignment="1">
      <alignment horizontal="center" vertical="center"/>
    </xf>
    <xf numFmtId="4" fontId="65" fillId="14" borderId="1" xfId="0" applyNumberFormat="1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left"/>
    </xf>
    <xf numFmtId="0" fontId="13" fillId="13" borderId="5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13" fillId="13" borderId="7" xfId="0" applyFont="1" applyFill="1" applyBorder="1" applyAlignment="1">
      <alignment horizontal="left"/>
    </xf>
    <xf numFmtId="0" fontId="13" fillId="13" borderId="8" xfId="0" applyFont="1" applyFill="1" applyBorder="1" applyAlignment="1">
      <alignment horizontal="left"/>
    </xf>
    <xf numFmtId="0" fontId="13" fillId="13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3" fillId="8" borderId="22" xfId="0" applyFont="1" applyFill="1" applyBorder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0" fontId="3" fillId="8" borderId="24" xfId="0" applyFont="1" applyFill="1" applyBorder="1" applyAlignment="1">
      <alignment horizontal="left" vertical="center"/>
    </xf>
    <xf numFmtId="0" fontId="3" fillId="8" borderId="25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8" fillId="2" borderId="4" xfId="0" applyFont="1" applyFill="1" applyBorder="1"/>
    <xf numFmtId="0" fontId="11" fillId="0" borderId="6" xfId="0" applyFont="1" applyBorder="1"/>
    <xf numFmtId="164" fontId="3" fillId="10" borderId="1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2" fillId="15" borderId="0" xfId="30" applyFont="1" applyFill="1" applyAlignment="1">
      <alignment horizontal="center"/>
    </xf>
    <xf numFmtId="0" fontId="1" fillId="16" borderId="0" xfId="0" applyFont="1" applyFill="1" applyAlignment="1">
      <alignment horizontal="left" indent="2"/>
    </xf>
  </cellXfs>
  <cellStyles count="35">
    <cellStyle name="Currency" xfId="34" builtinId="4"/>
    <cellStyle name="Currency 2" xfId="32" xr:uid="{00000000-0005-0000-0000-000002000000}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3" builtinId="8"/>
    <cellStyle name="Normal" xfId="0" builtinId="0"/>
    <cellStyle name="Normal 2" xfId="4" xr:uid="{00000000-0005-0000-0000-00001E000000}"/>
    <cellStyle name="Normal 3" xfId="30" xr:uid="{00000000-0005-0000-0000-00001F000000}"/>
    <cellStyle name="Percent" xfId="1" builtinId="5"/>
    <cellStyle name="Percent 2" xfId="5" xr:uid="{00000000-0005-0000-0000-000021000000}"/>
    <cellStyle name="Percent 3" xfId="31" xr:uid="{00000000-0005-0000-0000-000022000000}"/>
  </cellStyles>
  <dxfs count="13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0.0%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7" formatCode="0.0%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0" formatCode="[$-409]dd\ mmm\ yy;@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70" formatCode="[$-409]dd\ mmm\ 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AA945B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AA94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AA945B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485D7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AA945B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A945B"/>
      <color rgb="FFEEECE1"/>
      <color rgb="FF485D73"/>
      <color rgb="FFBFBFBF"/>
      <color rgb="FF0000FF"/>
      <color rgb="FF3333CC"/>
      <color rgb="FFCCFFFF"/>
      <color rgb="FFFFFF99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Intrinsic Value Calculator </a:t>
            </a:r>
          </a:p>
          <a:p>
            <a:pPr>
              <a:defRPr sz="105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(Discounted Cash Flow Method 10 years)</a:t>
            </a:r>
          </a:p>
        </c:rich>
      </c:tx>
      <c:layout>
        <c:manualLayout>
          <c:xMode val="edge"/>
          <c:yMode val="edge"/>
          <c:x val="0.3984133926669442"/>
          <c:y val="2.54006725721784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6945686773595"/>
          <c:y val="0.18461596246482617"/>
          <c:w val="0.85076583598597755"/>
          <c:h val="0.55897610857405799"/>
        </c:manualLayout>
      </c:layout>
      <c:lineChart>
        <c:grouping val="standard"/>
        <c:varyColors val="0"/>
        <c:ser>
          <c:idx val="0"/>
          <c:order val="0"/>
          <c:tx>
            <c:v>Cash Flow (Projected)</c:v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val>
            <c:numRef>
              <c:f>'VMI Calculator (10 years)'!$F$29:$O$29</c:f>
              <c:numCache>
                <c:formatCode>"$"#,##0.00</c:formatCode>
                <c:ptCount val="10"/>
                <c:pt idx="0">
                  <c:v>121.5</c:v>
                </c:pt>
                <c:pt idx="1">
                  <c:v>182.25</c:v>
                </c:pt>
                <c:pt idx="2">
                  <c:v>273.375</c:v>
                </c:pt>
                <c:pt idx="3">
                  <c:v>410.0625</c:v>
                </c:pt>
                <c:pt idx="4">
                  <c:v>615.09375</c:v>
                </c:pt>
                <c:pt idx="5">
                  <c:v>682.75406250000003</c:v>
                </c:pt>
                <c:pt idx="6">
                  <c:v>757.85700937500008</c:v>
                </c:pt>
                <c:pt idx="7">
                  <c:v>841.22128040625012</c:v>
                </c:pt>
                <c:pt idx="8">
                  <c:v>933.75562125093768</c:v>
                </c:pt>
                <c:pt idx="9">
                  <c:v>1036.468739588541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6-4E4E-871E-6B1AC9FB4F4A}"/>
            </c:ext>
          </c:extLst>
        </c:ser>
        <c:ser>
          <c:idx val="1"/>
          <c:order val="1"/>
          <c:tx>
            <c:v>Cash Flow (Discounted)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val>
            <c:numRef>
              <c:f>'VMI Calculator (10 years)'!$F$31:$O$31</c:f>
              <c:numCache>
                <c:formatCode>"$"#,##0.00</c:formatCode>
                <c:ptCount val="10"/>
                <c:pt idx="0">
                  <c:v>114.51460885956645</c:v>
                </c:pt>
                <c:pt idx="1">
                  <c:v>161.89624249703078</c:v>
                </c:pt>
                <c:pt idx="2">
                  <c:v>228.88252944914817</c:v>
                </c:pt>
                <c:pt idx="3">
                  <c:v>323.58510289700496</c:v>
                </c:pt>
                <c:pt idx="4">
                  <c:v>457.47187025966775</c:v>
                </c:pt>
                <c:pt idx="5">
                  <c:v>478.59922336308313</c:v>
                </c:pt>
                <c:pt idx="6">
                  <c:v>500.70229776910685</c:v>
                </c:pt>
                <c:pt idx="7">
                  <c:v>523.82615506475838</c:v>
                </c:pt>
                <c:pt idx="8">
                  <c:v>548.01793790940803</c:v>
                </c:pt>
                <c:pt idx="9">
                  <c:v>573.32696614462111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6-4E4E-871E-6B1AC9FB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3472"/>
        <c:axId val="98480128"/>
      </c:lineChart>
      <c:catAx>
        <c:axId val="984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chemeClr val="bg1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005904046059762"/>
              <c:y val="0.871238367931281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4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chemeClr val="bg1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2.1256285629970118E-2"/>
              <c:y val="0.4034512049630160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73472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7458766758050139E-3"/>
          <c:y val="0.85681557125053243"/>
          <c:w val="0.18359738656442004"/>
          <c:h val="0.12530753345767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1" algn="ctr" rtl="0">
              <a:defRPr sz="975" b="0" i="0" u="none" strike="noStrike" kern="1200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Intrinsic Value Calculator </a:t>
            </a:r>
          </a:p>
          <a:p>
            <a:pPr lvl="1" algn="ctr" rtl="0">
              <a:defRPr sz="975" b="0" i="0" u="none" strike="noStrike" kern="1200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(Discounted Cash Flow Method 20 years)</a:t>
            </a:r>
          </a:p>
        </c:rich>
      </c:tx>
      <c:layout>
        <c:manualLayout>
          <c:xMode val="edge"/>
          <c:yMode val="edge"/>
          <c:x val="0.35969409797226753"/>
          <c:y val="4.1025577685142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6945686773595"/>
          <c:y val="0.18461596246482626"/>
          <c:w val="0.85076583598597777"/>
          <c:h val="0.55897610857405799"/>
        </c:manualLayout>
      </c:layout>
      <c:lineChart>
        <c:grouping val="standard"/>
        <c:varyColors val="0"/>
        <c:ser>
          <c:idx val="0"/>
          <c:order val="0"/>
          <c:tx>
            <c:v>Cash Flow (Projected)</c:v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val>
            <c:numRef>
              <c:f>('VMI Calculator (20 years)'!$F$29:$O$29,'VMI Calculator (20 years)'!$F$34:$O$34)</c:f>
              <c:numCache>
                <c:formatCode>"$"#,##0.00</c:formatCode>
                <c:ptCount val="20"/>
                <c:pt idx="0">
                  <c:v>236810.69870000001</c:v>
                </c:pt>
                <c:pt idx="1">
                  <c:v>286327.81579817005</c:v>
                </c:pt>
                <c:pt idx="2">
                  <c:v>346198.96208156744</c:v>
                </c:pt>
                <c:pt idx="3">
                  <c:v>418589.1650528232</c:v>
                </c:pt>
                <c:pt idx="4">
                  <c:v>506116.15946536855</c:v>
                </c:pt>
                <c:pt idx="5">
                  <c:v>559005.29812949954</c:v>
                </c:pt>
                <c:pt idx="6">
                  <c:v>617421.3517840323</c:v>
                </c:pt>
                <c:pt idx="7">
                  <c:v>681941.88304546371</c:v>
                </c:pt>
                <c:pt idx="8">
                  <c:v>753204.80982371466</c:v>
                </c:pt>
                <c:pt idx="9">
                  <c:v>831914.71245029289</c:v>
                </c:pt>
                <c:pt idx="10">
                  <c:v>890148.74232181348</c:v>
                </c:pt>
                <c:pt idx="11">
                  <c:v>952459.15428434045</c:v>
                </c:pt>
                <c:pt idx="12">
                  <c:v>1019131.2950842443</c:v>
                </c:pt>
                <c:pt idx="13">
                  <c:v>1090470.4857401415</c:v>
                </c:pt>
                <c:pt idx="14">
                  <c:v>1166803.4197419514</c:v>
                </c:pt>
                <c:pt idx="15">
                  <c:v>1248479.659123888</c:v>
                </c:pt>
                <c:pt idx="16">
                  <c:v>1335873.2352625602</c:v>
                </c:pt>
                <c:pt idx="17">
                  <c:v>1429384.3617309395</c:v>
                </c:pt>
                <c:pt idx="18">
                  <c:v>1529441.2670521054</c:v>
                </c:pt>
                <c:pt idx="19">
                  <c:v>1636502.1557457529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5-429E-9323-C9C75466E029}"/>
            </c:ext>
          </c:extLst>
        </c:ser>
        <c:ser>
          <c:idx val="1"/>
          <c:order val="1"/>
          <c:tx>
            <c:v>Cash Flow (Discounted)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val>
            <c:numRef>
              <c:f>('VMI Calculator (20 years)'!$F$31:$O$31,'VMI Calculator (20 years)'!$F$36:$O$36)</c:f>
              <c:numCache>
                <c:formatCode>"$"#,##0.00</c:formatCode>
                <c:ptCount val="20"/>
                <c:pt idx="0">
                  <c:v>214308.32461538463</c:v>
                </c:pt>
                <c:pt idx="1">
                  <c:v>234497.91429182043</c:v>
                </c:pt>
                <c:pt idx="2">
                  <c:v>256589.52775587342</c:v>
                </c:pt>
                <c:pt idx="3">
                  <c:v>280762.35113993357</c:v>
                </c:pt>
                <c:pt idx="4">
                  <c:v>307212.45136949653</c:v>
                </c:pt>
                <c:pt idx="5">
                  <c:v>307073.44121050584</c:v>
                </c:pt>
                <c:pt idx="6">
                  <c:v>306934.49395203957</c:v>
                </c:pt>
                <c:pt idx="7">
                  <c:v>306795.60956563597</c:v>
                </c:pt>
                <c:pt idx="8">
                  <c:v>306656.7880228461</c:v>
                </c:pt>
                <c:pt idx="9">
                  <c:v>306518.02929523395</c:v>
                </c:pt>
                <c:pt idx="10">
                  <c:v>296809.31343520398</c:v>
                </c:pt>
                <c:pt idx="11">
                  <c:v>287408.11346214323</c:v>
                </c:pt>
                <c:pt idx="12">
                  <c:v>278304.68905384006</c:v>
                </c:pt>
                <c:pt idx="13">
                  <c:v>269489.60840507591</c:v>
                </c:pt>
                <c:pt idx="14">
                  <c:v>260953.73845559388</c:v>
                </c:pt>
                <c:pt idx="15">
                  <c:v>252688.23542758863</c:v>
                </c:pt>
                <c:pt idx="16">
                  <c:v>244684.5356629139</c:v>
                </c:pt>
                <c:pt idx="17">
                  <c:v>236934.34675051391</c:v>
                </c:pt>
                <c:pt idx="18">
                  <c:v>229429.63893488681</c:v>
                </c:pt>
                <c:pt idx="19">
                  <c:v>222162.63679667775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5-429E-9323-C9C75466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792"/>
        <c:axId val="97665024"/>
      </c:lineChart>
      <c:catAx>
        <c:axId val="97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>
                    <a:solidFill>
                      <a:schemeClr val="bg1"/>
                    </a:solidFill>
                  </a:rPr>
                  <a:t>Year</a:t>
                </a:r>
                <a:endParaRPr lang="en-US" b="1" i="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1785752444661159"/>
              <c:y val="0.861541248520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66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2.4234664251039397E-2"/>
              <c:y val="0.3743601461582014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49792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3.0803050939117978E-3"/>
          <c:y val="0.852398396243635"/>
          <c:w val="0.18477814333358705"/>
          <c:h val="0.128390748031496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- Breakdown by Category</a:t>
            </a:r>
            <a:endParaRPr lang="en-US">
              <a:effectLst/>
            </a:endParaRP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(% of Current Market Value in USD)</a:t>
            </a:r>
            <a:endParaRPr lang="en-US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2"/>
          <c:tx>
            <c:strRef>
              <c:f>'VMI Dashboard'!$E$47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E-4BC8-B594-08D5FF50A427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4BC8-B594-08D5FF50A427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E-4BC8-B594-08D5FF50A42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E-4BC8-B594-08D5FF50A427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9E-4BC8-B594-08D5FF50A427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9E-4BC8-B594-08D5FF50A427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9E-4BC8-B594-08D5FF50A427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'VMI Dashboard'!$B$48:$B$55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Dashboard'!$E$48:$E$55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0.33233542607222033</c:v>
                </c:pt>
                <c:pt idx="3">
                  <c:v>0.40213414315483559</c:v>
                </c:pt>
                <c:pt idx="4">
                  <c:v>0.26553043077294414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9E-4BC8-B594-08D5FF50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#REF!</c:v>
                </c:tx>
                <c:dPt>
                  <c:idx val="0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69E-4BC8-B594-08D5FF50A4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69E-4BC8-B594-08D5FF50A4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769E-4BC8-B594-08D5FF50A4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769E-4BC8-B594-08D5FF50A4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769E-4BC8-B594-08D5FF50A4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769E-4BC8-B594-08D5FF50A4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69E-4BC8-B594-08D5FF50A427}"/>
                    </c:ext>
                  </c:extLst>
                </c:dPt>
                <c:cat>
                  <c:strLit>
                    <c:ptCount val="7"/>
                    <c:pt idx="0">
                      <c:v>Cash Cow</c:v>
                    </c:pt>
                    <c:pt idx="1">
                      <c:v>Deep Value</c:v>
                    </c:pt>
                    <c:pt idx="2">
                      <c:v>ETF</c:v>
                    </c:pt>
                    <c:pt idx="3">
                      <c:v>Growth</c:v>
                    </c:pt>
                    <c:pt idx="4">
                      <c:v>Other</c:v>
                    </c:pt>
                    <c:pt idx="5">
                      <c:v>Predictable</c:v>
                    </c:pt>
                    <c:pt idx="6">
                      <c:v>Speculative</c:v>
                    </c:pt>
                  </c:strLit>
                </c:cat>
                <c:val>
                  <c:numLit>
                    <c:formatCode>General</c:formatCode>
                    <c:ptCount val="7"/>
                    <c:pt idx="0">
                      <c:v>3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1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D-769E-4BC8-B594-08D5FF50A42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#REF!</c:v>
                </c:tx>
                <c:dPt>
                  <c:idx val="0"/>
                  <c:bubble3D val="0"/>
                  <c:spPr>
                    <a:solidFill>
                      <a:schemeClr val="accent1">
                        <a:shade val="47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9E-4BC8-B594-08D5FF50A4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65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9E-4BC8-B594-08D5FF50A4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shade val="82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9E-4BC8-B594-08D5FF50A4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9E-4BC8-B594-08D5FF50A4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1">
                        <a:tint val="83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9E-4BC8-B594-08D5FF50A4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1">
                        <a:tint val="65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9E-4BC8-B594-08D5FF50A4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tint val="48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9E-4BC8-B594-08D5FF50A427}"/>
                    </c:ext>
                  </c:extLst>
                </c:dPt>
                <c:cat>
                  <c:strLit>
                    <c:ptCount val="7"/>
                    <c:pt idx="0">
                      <c:v>Cash Cow</c:v>
                    </c:pt>
                    <c:pt idx="1">
                      <c:v>Deep Value</c:v>
                    </c:pt>
                    <c:pt idx="2">
                      <c:v>ETF</c:v>
                    </c:pt>
                    <c:pt idx="3">
                      <c:v>Growth</c:v>
                    </c:pt>
                    <c:pt idx="4">
                      <c:v>Other</c:v>
                    </c:pt>
                    <c:pt idx="5">
                      <c:v>Predictable</c:v>
                    </c:pt>
                    <c:pt idx="6">
                      <c:v>Speculative</c:v>
                    </c:pt>
                  </c:strLit>
                </c:cat>
                <c:val>
                  <c:numLit>
                    <c:formatCode>_("$"* #,##0.00_);_("$"* \(#,##0.00\);_("$"* "-"??_);_(@_)</c:formatCode>
                    <c:ptCount val="7"/>
                    <c:pt idx="0">
                      <c:v>17401.702127659573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22040.754716981133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3267.8663239074544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69E-4BC8-B594-08D5FF50A42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 - Breakdown by Category</a:t>
            </a:r>
            <a:endParaRPr lang="en-US">
              <a:effectLst/>
            </a:endParaRPr>
          </a:p>
          <a:p>
            <a:pPr>
              <a:defRPr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800" b="0" i="0" baseline="0">
                <a:effectLst/>
              </a:rPr>
              <a:t>(% of Current Market Value in USD)</a:t>
            </a:r>
            <a:endParaRPr lang="en-US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'VMI Dashboard'!$J$47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4-4A39-B0F7-F41F7410545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4-4A39-B0F7-F41F7410545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4-4A39-B0F7-F41F7410545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4-4A39-B0F7-F41F7410545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4-4A39-B0F7-F41F7410545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34-4A39-B0F7-F41F7410545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34-4A39-B0F7-F41F7410545D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49-424A-8279-4CEE522A6D62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'VMI Dashboard'!$G$48:$G$55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Dashboard'!$J$48:$J$55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4-4A39-B0F7-F41F7410545D}"/>
            </c:ext>
          </c:extLst>
        </c:ser>
        <c:ser>
          <c:idx val="1"/>
          <c:order val="1"/>
          <c:tx>
            <c:strRef>
              <c:f>'VMI Dashboard'!$I$47</c:f>
              <c:strCache>
                <c:ptCount val="1"/>
                <c:pt idx="0">
                  <c:v>Market Value (in USD)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534-4A39-B0F7-F41F7410545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534-4A39-B0F7-F41F7410545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534-4A39-B0F7-F41F7410545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534-4A39-B0F7-F41F7410545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534-4A39-B0F7-F41F7410545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534-4A39-B0F7-F41F7410545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534-4A39-B0F7-F41F7410545D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849-424A-8279-4CEE522A6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'VMI Dashboard'!$G$48:$G$55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Dashboard'!$I$48:$I$55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1876.4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34-4A39-B0F7-F41F7410545D}"/>
            </c:ext>
          </c:extLst>
        </c:ser>
        <c:ser>
          <c:idx val="2"/>
          <c:order val="2"/>
          <c:tx>
            <c:strRef>
              <c:f>'VMI Dashboard'!$J$47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34-4A39-B0F7-F41F7410545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34-4A39-B0F7-F41F7410545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34-4A39-B0F7-F41F7410545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34-4A39-B0F7-F41F7410545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34-4A39-B0F7-F41F7410545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34-4A39-B0F7-F41F7410545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34-4A39-B0F7-F41F7410545D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849-424A-8279-4CEE522A6D62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'VMI Dashboard'!$G$48:$G$55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Dashboard'!$J$48:$J$55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534-4A39-B0F7-F41F74105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China - Breakdown by Category</a:t>
            </a:r>
            <a:endParaRPr lang="en-US">
              <a:effectLst/>
            </a:endParaRP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(% of Current Market Value in USD)</a:t>
            </a:r>
            <a:endParaRPr lang="en-US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'VMI Dashboard'!$O$47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3-48AC-9C6A-BDA9576F18C6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3-48AC-9C6A-BDA9576F18C6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3-48AC-9C6A-BDA9576F18C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3-48AC-9C6A-BDA9576F18C6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3-48AC-9C6A-BDA9576F18C6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33-48AC-9C6A-BDA9576F18C6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33-48AC-9C6A-BDA9576F18C6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'VMI Dashboard'!$L$48:$L$55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Dashboard'!$O$48:$O$55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33-48AC-9C6A-BDA9576F18C6}"/>
            </c:ext>
          </c:extLst>
        </c:ser>
        <c:ser>
          <c:idx val="1"/>
          <c:order val="1"/>
          <c:tx>
            <c:strRef>
              <c:f>'VMI Dashboard'!$N$47</c:f>
              <c:strCache>
                <c:ptCount val="1"/>
                <c:pt idx="0">
                  <c:v>Market Value (in USD)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933-48AC-9C6A-BDA9576F18C6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933-48AC-9C6A-BDA9576F18C6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933-48AC-9C6A-BDA9576F18C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933-48AC-9C6A-BDA9576F18C6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933-48AC-9C6A-BDA9576F18C6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933-48AC-9C6A-BDA9576F18C6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933-48AC-9C6A-BDA9576F18C6}"/>
              </c:ext>
            </c:extLst>
          </c:dPt>
          <c:cat>
            <c:strRef>
              <c:f>'VMI Dashboard'!$L$48:$L$55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Dashboard'!$N$48:$N$55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1621.08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33-48AC-9C6A-BDA9576F18C6}"/>
            </c:ext>
          </c:extLst>
        </c:ser>
        <c:ser>
          <c:idx val="2"/>
          <c:order val="2"/>
          <c:tx>
            <c:strRef>
              <c:f>'VMI Dashboard'!$O$47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933-48AC-9C6A-BDA9576F18C6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933-48AC-9C6A-BDA9576F18C6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933-48AC-9C6A-BDA9576F18C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933-48AC-9C6A-BDA9576F18C6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933-48AC-9C6A-BDA9576F18C6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933-48AC-9C6A-BDA9576F18C6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933-48AC-9C6A-BDA9576F18C6}"/>
              </c:ext>
            </c:extLst>
          </c:dPt>
          <c:cat>
            <c:strRef>
              <c:f>'VMI Dashboard'!$L$48:$L$55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Dashboard'!$O$48:$O$55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933-48AC-9C6A-BDA9576F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Hong Kong - Breakdown by Category</a:t>
            </a:r>
            <a:endParaRPr lang="en-US">
              <a:effectLst/>
            </a:endParaRP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(% of Current Market Value in USD)</a:t>
            </a:r>
            <a:endParaRPr lang="en-US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'VMI Dashboard'!$T$47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A-439B-836E-A6154207EE8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A-439B-836E-A6154207EE8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A-439B-836E-A6154207EE8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0A-439B-836E-A6154207EE8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0A-439B-836E-A6154207EE8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0A-439B-836E-A6154207EE8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0A-439B-836E-A6154207EE8D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'VMI Dashboard'!$Q$48:$Q$55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Dashboard'!$T$48:$T$55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0A-439B-836E-A6154207EE8D}"/>
            </c:ext>
          </c:extLst>
        </c:ser>
        <c:ser>
          <c:idx val="1"/>
          <c:order val="1"/>
          <c:tx>
            <c:strRef>
              <c:f>'VMI Dashboard'!$S$47</c:f>
              <c:strCache>
                <c:ptCount val="1"/>
                <c:pt idx="0">
                  <c:v>Market Value (in USD)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A0A-439B-836E-A6154207EE8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0A-439B-836E-A6154207EE8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0A-439B-836E-A6154207EE8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0A-439B-836E-A6154207EE8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0A-439B-836E-A6154207EE8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0A-439B-836E-A6154207EE8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0A-439B-836E-A6154207EE8D}"/>
              </c:ext>
            </c:extLst>
          </c:dPt>
          <c:cat>
            <c:strRef>
              <c:f>'VMI Dashboard'!$Q$48:$Q$55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Dashboard'!$S$48:$S$55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1220.6451612903227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A0A-439B-836E-A6154207EE8D}"/>
            </c:ext>
          </c:extLst>
        </c:ser>
        <c:ser>
          <c:idx val="2"/>
          <c:order val="2"/>
          <c:tx>
            <c:strRef>
              <c:f>'VMI Dashboard'!$T$47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A0A-439B-836E-A6154207EE8D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A0A-439B-836E-A6154207EE8D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A0A-439B-836E-A6154207EE8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A0A-439B-836E-A6154207EE8D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A0A-439B-836E-A6154207EE8D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A0A-439B-836E-A6154207EE8D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A0A-439B-836E-A6154207EE8D}"/>
              </c:ext>
            </c:extLst>
          </c:dPt>
          <c:cat>
            <c:strRef>
              <c:f>'VMI Dashboard'!$Q$48:$Q$55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Dashboard'!$T$48:$T$55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A0A-439B-836E-A6154207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Geographical Breakdown</a:t>
            </a:r>
          </a:p>
          <a:p>
            <a:pPr>
              <a:defRPr b="0"/>
            </a:pPr>
            <a:r>
              <a:rPr lang="en-US" b="0"/>
              <a:t>(% of Current Market Value in USD)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'VMI Dashboard'!$E$109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CE-4E35-9CF2-40E23E8B264A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CE-4E35-9CF2-40E23E8B264A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12-4E20-82B4-2AAC1C7CC1C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B5-4230-B675-37476B0BDCDF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'VMI Dashboard'!$B$110:$B$113</c:f>
              <c:strCache>
                <c:ptCount val="4"/>
                <c:pt idx="0">
                  <c:v>US</c:v>
                </c:pt>
                <c:pt idx="1">
                  <c:v>China</c:v>
                </c:pt>
                <c:pt idx="2">
                  <c:v>Hong Kong</c:v>
                </c:pt>
                <c:pt idx="3">
                  <c:v>Singapore</c:v>
                </c:pt>
              </c:strCache>
            </c:strRef>
          </c:cat>
          <c:val>
            <c:numRef>
              <c:f>'VMI Dashboard'!$E$110:$E$113</c:f>
              <c:numCache>
                <c:formatCode>0.0%</c:formatCode>
                <c:ptCount val="4"/>
                <c:pt idx="0">
                  <c:v>0.26553043077294414</c:v>
                </c:pt>
                <c:pt idx="1">
                  <c:v>0.22939995241814337</c:v>
                </c:pt>
                <c:pt idx="2">
                  <c:v>0.17273419073669219</c:v>
                </c:pt>
                <c:pt idx="3">
                  <c:v>0.33233542607222033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CE-4E35-9CF2-40E23E8B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Breakdown by Holdings</a:t>
            </a:r>
          </a:p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(% of Current Market Value 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'VMI Portfolio Manager'!$X$8</c:f>
              <c:strCache>
                <c:ptCount val="1"/>
                <c:pt idx="0">
                  <c:v>Market Value
(in 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56-4821-B78A-54D597F90E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56-4821-B78A-54D597F90E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56-4821-B78A-54D597F90E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56-4821-B78A-54D597F90E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56-4821-B78A-54D597F90E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56-4821-B78A-54D597F90E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56-4821-B78A-54D597F90EF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56-4821-B78A-54D597F90EF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56-4821-B78A-54D597F90EF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956-4821-B78A-54D597F90EF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956-4821-B78A-54D597F90EF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956-4821-B78A-54D597F90EF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956-4821-B78A-54D597F90EF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956-4821-B78A-54D597F90EF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956-4821-B78A-54D597F90EF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956-4821-B78A-54D597F90EF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956-4821-B78A-54D597F90EF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956-4821-B78A-54D597F90EF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956-4821-B78A-54D597F90EF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956-4821-B78A-54D597F90EF3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'VMI Portfolio Manager'!$C$9:$C$29</c:f>
              <c:strCache>
                <c:ptCount val="4"/>
                <c:pt idx="0">
                  <c:v>MSFT</c:v>
                </c:pt>
                <c:pt idx="1">
                  <c:v>ASHR</c:v>
                </c:pt>
                <c:pt idx="2">
                  <c:v>3033</c:v>
                </c:pt>
                <c:pt idx="3">
                  <c:v>CSFU</c:v>
                </c:pt>
              </c:strCache>
            </c:strRef>
          </c:cat>
          <c:val>
            <c:numRef>
              <c:f>'VMI Portfolio Manager'!$X$9:$X$29</c:f>
              <c:numCache>
                <c:formatCode>_("$"* #,##0.00_);_("$"* \(#,##0.00\);_("$"* "-"??_);_(@_)</c:formatCode>
                <c:ptCount val="20"/>
                <c:pt idx="0">
                  <c:v>1876.4</c:v>
                </c:pt>
                <c:pt idx="1">
                  <c:v>1621.08</c:v>
                </c:pt>
                <c:pt idx="2">
                  <c:v>1220.6451612903227</c:v>
                </c:pt>
                <c:pt idx="3">
                  <c:v>2348.4848484848485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B46-4C84-BE9D-F84486E1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Singapore - Breakdown by Category</a:t>
            </a:r>
            <a:endParaRPr lang="en-US">
              <a:effectLst/>
            </a:endParaRP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(% of Current Market Value in USD)</a:t>
            </a:r>
            <a:endParaRPr lang="en-US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'VMI Dashboard'!$Y$47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A-4E53-8047-1B7D4A5B4434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A-4E53-8047-1B7D4A5B4434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A-4E53-8047-1B7D4A5B443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A-4E53-8047-1B7D4A5B4434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8A-4E53-8047-1B7D4A5B4434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8A-4E53-8047-1B7D4A5B4434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8A-4E53-8047-1B7D4A5B4434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'VMI Dashboard'!$V$48:$V$55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Dashboard'!$Y$48:$Y$55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AFE-800C-DA7C47213A3F}"/>
            </c:ext>
          </c:extLst>
        </c:ser>
        <c:ser>
          <c:idx val="1"/>
          <c:order val="1"/>
          <c:tx>
            <c:strRef>
              <c:f>'VMI Dashboard'!$X$47</c:f>
              <c:strCache>
                <c:ptCount val="1"/>
                <c:pt idx="0">
                  <c:v>Market Value (in USD)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8A-4E53-8047-1B7D4A5B4434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8A-4E53-8047-1B7D4A5B4434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F8A-4E53-8047-1B7D4A5B443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8A-4E53-8047-1B7D4A5B4434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F8A-4E53-8047-1B7D4A5B4434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8A-4E53-8047-1B7D4A5B4434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8A-4E53-8047-1B7D4A5B4434}"/>
              </c:ext>
            </c:extLst>
          </c:dPt>
          <c:cat>
            <c:strRef>
              <c:f>'VMI Dashboard'!$V$48:$V$55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Dashboard'!$X$48:$X$55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2348.4848484848485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B-4AFE-800C-DA7C47213A3F}"/>
            </c:ext>
          </c:extLst>
        </c:ser>
        <c:ser>
          <c:idx val="2"/>
          <c:order val="2"/>
          <c:tx>
            <c:strRef>
              <c:f>'VMI Dashboard'!$Y$47</c:f>
              <c:strCache>
                <c:ptCount val="1"/>
                <c:pt idx="0">
                  <c:v>Percentage by Market Value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8A-4E53-8047-1B7D4A5B4434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8A-4E53-8047-1B7D4A5B4434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8A-4E53-8047-1B7D4A5B443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8A-4E53-8047-1B7D4A5B4434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F8A-4E53-8047-1B7D4A5B4434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F8A-4E53-8047-1B7D4A5B4434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F8A-4E53-8047-1B7D4A5B4434}"/>
              </c:ext>
            </c:extLst>
          </c:dPt>
          <c:cat>
            <c:strRef>
              <c:f>'VMI Dashboard'!$V$48:$V$55</c:f>
              <c:strCache>
                <c:ptCount val="8"/>
                <c:pt idx="0">
                  <c:v>Cyclical</c:v>
                </c:pt>
                <c:pt idx="1">
                  <c:v>Deep Value</c:v>
                </c:pt>
                <c:pt idx="2">
                  <c:v>Dividend</c:v>
                </c:pt>
                <c:pt idx="3">
                  <c:v>ETF</c:v>
                </c:pt>
                <c:pt idx="4">
                  <c:v>Large Growth</c:v>
                </c:pt>
                <c:pt idx="5">
                  <c:v>Predictable</c:v>
                </c:pt>
                <c:pt idx="6">
                  <c:v>Speculative Growth</c:v>
                </c:pt>
                <c:pt idx="7">
                  <c:v>Turnarounds</c:v>
                </c:pt>
              </c:strCache>
            </c:strRef>
          </c:cat>
          <c:val>
            <c:numRef>
              <c:f>'VMI Dashboard'!$Y$48:$Y$55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B-4AFE-800C-DA7C4721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32</xdr:row>
      <xdr:rowOff>28574</xdr:rowOff>
    </xdr:from>
    <xdr:to>
      <xdr:col>15</xdr:col>
      <xdr:colOff>47625</xdr:colOff>
      <xdr:row>48</xdr:row>
      <xdr:rowOff>47624</xdr:rowOff>
    </xdr:to>
    <xdr:graphicFrame macro="">
      <xdr:nvGraphicFramePr>
        <xdr:cNvPr id="4292" name="Chart 7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85</xdr:row>
      <xdr:rowOff>32445</xdr:rowOff>
    </xdr:from>
    <xdr:to>
      <xdr:col>15</xdr:col>
      <xdr:colOff>257175</xdr:colOff>
      <xdr:row>87</xdr:row>
      <xdr:rowOff>148322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675AE4-0FBE-41AE-81DC-0CE29670E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2950" y="17682270"/>
          <a:ext cx="1781175" cy="439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857249</xdr:colOff>
      <xdr:row>37</xdr:row>
      <xdr:rowOff>28575</xdr:rowOff>
    </xdr:from>
    <xdr:to>
      <xdr:col>15</xdr:col>
      <xdr:colOff>41640</xdr:colOff>
      <xdr:row>53</xdr:row>
      <xdr:rowOff>60489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216803E1-3D21-4F3E-A2D6-010D680F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90</xdr:row>
      <xdr:rowOff>32445</xdr:rowOff>
    </xdr:from>
    <xdr:to>
      <xdr:col>15</xdr:col>
      <xdr:colOff>257175</xdr:colOff>
      <xdr:row>92</xdr:row>
      <xdr:rowOff>148322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6A7CBC-ACE3-412B-84DC-F144D37CF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2950" y="17263170"/>
          <a:ext cx="1781175" cy="439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4</xdr:col>
      <xdr:colOff>1469912</xdr:colOff>
      <xdr:row>104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389164</xdr:colOff>
      <xdr:row>57</xdr:row>
      <xdr:rowOff>0</xdr:rowOff>
    </xdr:from>
    <xdr:to>
      <xdr:col>9</xdr:col>
      <xdr:colOff>1444398</xdr:colOff>
      <xdr:row>104</xdr:row>
      <xdr:rowOff>90297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14</xdr:col>
      <xdr:colOff>1471613</xdr:colOff>
      <xdr:row>104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56</xdr:row>
      <xdr:rowOff>190499</xdr:rowOff>
    </xdr:from>
    <xdr:to>
      <xdr:col>19</xdr:col>
      <xdr:colOff>1471613</xdr:colOff>
      <xdr:row>104</xdr:row>
      <xdr:rowOff>74499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5</xdr:col>
      <xdr:colOff>28575</xdr:colOff>
      <xdr:row>163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4</xdr:row>
      <xdr:rowOff>0</xdr:rowOff>
    </xdr:from>
    <xdr:to>
      <xdr:col>9</xdr:col>
      <xdr:colOff>898072</xdr:colOff>
      <xdr:row>41</xdr:row>
      <xdr:rowOff>54429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57</xdr:row>
      <xdr:rowOff>0</xdr:rowOff>
    </xdr:from>
    <xdr:to>
      <xdr:col>24</xdr:col>
      <xdr:colOff>1471613</xdr:colOff>
      <xdr:row>104</xdr:row>
      <xdr:rowOff>88107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342900</xdr:colOff>
      <xdr:row>167</xdr:row>
      <xdr:rowOff>107157</xdr:rowOff>
    </xdr:from>
    <xdr:to>
      <xdr:col>2</xdr:col>
      <xdr:colOff>1016360</xdr:colOff>
      <xdr:row>170</xdr:row>
      <xdr:rowOff>48311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6BBE03F-E290-4A29-8117-C5595275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13975557"/>
          <a:ext cx="2197460" cy="5412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31</xdr:row>
      <xdr:rowOff>107157</xdr:rowOff>
    </xdr:from>
    <xdr:to>
      <xdr:col>4</xdr:col>
      <xdr:colOff>235310</xdr:colOff>
      <xdr:row>34</xdr:row>
      <xdr:rowOff>48311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D0A4D-4696-412E-9F1C-5FF25AA7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51418332"/>
          <a:ext cx="2197459" cy="5412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_USDashboardTable" displayName="_USDashboardTable" ref="G47:J56" totalsRowCount="1" headerRowDxfId="133" dataDxfId="132" totalsRowDxfId="131">
  <autoFilter ref="G47:J55" xr:uid="{00000000-0009-0000-0100-00000B000000}"/>
  <sortState xmlns:xlrd2="http://schemas.microsoft.com/office/spreadsheetml/2017/richdata2" ref="G48:J55">
    <sortCondition ref="G48"/>
  </sortState>
  <tableColumns count="4">
    <tableColumn id="1" xr3:uid="{00000000-0010-0000-0A00-000001000000}" name="Category" totalsRowLabel="TOTAL" dataDxfId="130" totalsRowDxfId="129" dataCellStyle="Normal 3" totalsRowCellStyle="Normal 3"/>
    <tableColumn id="2" xr3:uid="{00000000-0010-0000-0A00-000002000000}" name="Count" totalsRowFunction="sum" dataDxfId="128" totalsRowDxfId="127" totalsRowCellStyle="Normal 3">
      <calculatedColumnFormula>COUNTIFS(_TrackerTable[Country],G$46,_TrackerTable[Category],_USDashboardTable[[#This Row],[Category]])</calculatedColumnFormula>
    </tableColumn>
    <tableColumn id="3" xr3:uid="{00000000-0010-0000-0A00-000003000000}" name="Market Value (in USD)" totalsRowFunction="sum" dataDxfId="126" totalsRowDxfId="125" totalsRowCellStyle="Normal 3">
      <calculatedColumnFormula>SUMIFS(_TrackerTable[Market Value
(in USD)],_TrackerTable[Country],G$46,_TrackerTable[Category],_USDashboardTable[[#This Row],[Category]])</calculatedColumnFormula>
    </tableColumn>
    <tableColumn id="4" xr3:uid="{00000000-0010-0000-0A00-000004000000}" name="Percentage by Market Value" totalsRowFunction="sum" dataDxfId="124" totalsRowDxfId="123" totalsRowCellStyle="Normal 3">
      <calculatedColumnFormula>IF(_USDashboardTable[[#Totals],[Market Value (in USD)]]&gt;0,_USDashboardTable[[#This Row],[Market Value (in USD)]]/_USDashboardTable[[#Totals],[Market Value (in USD)]],0)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_USDashboardTable5" displayName="_USDashboardTable5" ref="L47:O56" totalsRowCount="1" headerRowDxfId="122" dataDxfId="121" totalsRowDxfId="120">
  <autoFilter ref="L47:O55" xr:uid="{00000000-0009-0000-0100-00000C000000}"/>
  <sortState xmlns:xlrd2="http://schemas.microsoft.com/office/spreadsheetml/2017/richdata2" ref="L48:O55">
    <sortCondition ref="L48"/>
  </sortState>
  <tableColumns count="4">
    <tableColumn id="1" xr3:uid="{00000000-0010-0000-0B00-000001000000}" name="Category" totalsRowLabel="TOTAL" dataDxfId="119" totalsRowDxfId="118" dataCellStyle="Normal 3" totalsRowCellStyle="Normal 3"/>
    <tableColumn id="2" xr3:uid="{00000000-0010-0000-0B00-000002000000}" name="Count" totalsRowFunction="sum" dataDxfId="117" totalsRowDxfId="116" totalsRowCellStyle="Normal 3">
      <calculatedColumnFormula>COUNTIFS(_TrackerTable[Country],L$46,_TrackerTable[Category],_USDashboardTable5[[#This Row],[Category]])</calculatedColumnFormula>
    </tableColumn>
    <tableColumn id="3" xr3:uid="{00000000-0010-0000-0B00-000003000000}" name="Market Value (in USD)" totalsRowFunction="sum" dataDxfId="115" totalsRowDxfId="114" totalsRowCellStyle="Normal 3">
      <calculatedColumnFormula>SUMIFS(_TrackerTable[Market Value
(in USD)],_TrackerTable[Country],L$46,_TrackerTable[Category],_USDashboardTable5[[#This Row],[Category]])</calculatedColumnFormula>
    </tableColumn>
    <tableColumn id="4" xr3:uid="{00000000-0010-0000-0B00-000004000000}" name="Percentage by Market Value" totalsRowFunction="sum" dataDxfId="113" totalsRowDxfId="112" totalsRowCellStyle="Normal 3">
      <calculatedColumnFormula>IF(_USDashboardTable5[[#Totals],[Market Value (in USD)]]&gt;0,_USDashboardTable5[[#This Row],[Market Value (in USD)]]/_USDashboardTable5[[#Totals],[Market Value (in USD)]],0)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_USDashboardTable56" displayName="_USDashboardTable56" ref="B47:E56" totalsRowCount="1" headerRowDxfId="111" dataDxfId="110" totalsRowDxfId="109">
  <autoFilter ref="B47:E55" xr:uid="{00000000-0009-0000-0100-00000D000000}"/>
  <sortState xmlns:xlrd2="http://schemas.microsoft.com/office/spreadsheetml/2017/richdata2" ref="B48:E55">
    <sortCondition ref="B48"/>
  </sortState>
  <tableColumns count="4">
    <tableColumn id="1" xr3:uid="{00000000-0010-0000-0C00-000001000000}" name="Category" totalsRowLabel="TOTAL" dataDxfId="108" totalsRowDxfId="107" totalsRowCellStyle="Normal 3"/>
    <tableColumn id="2" xr3:uid="{00000000-0010-0000-0C00-000002000000}" name="Count" totalsRowFunction="sum" dataDxfId="106" totalsRowDxfId="105" totalsRowCellStyle="Normal 3">
      <calculatedColumnFormula>COUNTIFS(_TrackerTable[Category],_USDashboardTable56[[#This Row],[Category]])</calculatedColumnFormula>
    </tableColumn>
    <tableColumn id="3" xr3:uid="{00000000-0010-0000-0C00-000003000000}" name="Market Value (in USD)" totalsRowFunction="sum" dataDxfId="104" totalsRowDxfId="103" totalsRowCellStyle="Normal 3">
      <calculatedColumnFormula>SUMIFS(_TrackerTable[Market Value
(in USD)],_TrackerTable[Category],_USDashboardTable56[[#This Row],[Category]])</calculatedColumnFormula>
    </tableColumn>
    <tableColumn id="4" xr3:uid="{00000000-0010-0000-0C00-000004000000}" name="Percentage by Market Value" totalsRowFunction="sum" dataDxfId="102" totalsRowDxfId="101" totalsRowCellStyle="Normal 3">
      <calculatedColumnFormula>IF(_USDashboardTable56[[#Totals],[Market Value (in USD)]]&gt;0,_USDashboardTable56[[#This Row],[Market Value (in USD)]]/_USDashboardTable56[[#Totals],[Market Value (in USD)]],0)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_USDashboardTable57" displayName="_USDashboardTable57" ref="Q47:T56" totalsRowCount="1" headerRowDxfId="100" dataDxfId="99" totalsRowDxfId="98">
  <autoFilter ref="Q47:T55" xr:uid="{00000000-0009-0000-0100-00000E000000}"/>
  <sortState xmlns:xlrd2="http://schemas.microsoft.com/office/spreadsheetml/2017/richdata2" ref="Q48:T55">
    <sortCondition ref="Q48"/>
  </sortState>
  <tableColumns count="4">
    <tableColumn id="1" xr3:uid="{00000000-0010-0000-0D00-000001000000}" name="Category" totalsRowLabel="TOTAL" dataDxfId="97" totalsRowDxfId="96" dataCellStyle="Normal 3" totalsRowCellStyle="Normal 3"/>
    <tableColumn id="2" xr3:uid="{00000000-0010-0000-0D00-000002000000}" name="Count" totalsRowFunction="sum" dataDxfId="95" totalsRowDxfId="94" totalsRowCellStyle="Normal 3">
      <calculatedColumnFormula>COUNTIFS(_TrackerTable[Country],Q$46,_TrackerTable[Category],_USDashboardTable57[[#This Row],[Category]])</calculatedColumnFormula>
    </tableColumn>
    <tableColumn id="3" xr3:uid="{00000000-0010-0000-0D00-000003000000}" name="Market Value (in USD)" totalsRowFunction="sum" dataDxfId="93" totalsRowDxfId="92" totalsRowCellStyle="Normal 3">
      <calculatedColumnFormula>SUMIFS(_TrackerTable[Market Value
(in USD)],_TrackerTable[Country],Q$46,_TrackerTable[Category],_USDashboardTable57[[#This Row],[Category]])</calculatedColumnFormula>
    </tableColumn>
    <tableColumn id="4" xr3:uid="{00000000-0010-0000-0D00-000004000000}" name="Percentage by Market Value" totalsRowFunction="sum" dataDxfId="91" totalsRowDxfId="90" totalsRowCellStyle="Normal 3">
      <calculatedColumnFormula>IF(_USDashboardTable57[[#Totals],[Market Value (in USD)]]&gt;0,_USDashboardTable57[[#This Row],[Market Value (in USD)]]/_USDashboardTable57[[#Totals],[Market Value (in USD)]],0)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_USDashboardTable568" displayName="_USDashboardTable568" ref="B109:E114" totalsRowCount="1" headerRowDxfId="89" dataDxfId="88" totalsRowDxfId="87">
  <autoFilter ref="B109:E113" xr:uid="{00000000-0009-0000-0100-00000F000000}"/>
  <sortState xmlns:xlrd2="http://schemas.microsoft.com/office/spreadsheetml/2017/richdata2" ref="B110:E113">
    <sortCondition ref="B110"/>
  </sortState>
  <tableColumns count="4">
    <tableColumn id="1" xr3:uid="{00000000-0010-0000-0E00-000001000000}" name="Country" totalsRowLabel="TOTAL" dataDxfId="86" totalsRowDxfId="85"/>
    <tableColumn id="2" xr3:uid="{00000000-0010-0000-0E00-000002000000}" name="Count" totalsRowFunction="sum" dataDxfId="84" totalsRowDxfId="83">
      <calculatedColumnFormula>COUNTIFS(_TrackerTable[Country],_USDashboardTable568[[#This Row],[Country]])</calculatedColumnFormula>
    </tableColumn>
    <tableColumn id="3" xr3:uid="{00000000-0010-0000-0E00-000003000000}" name="Market Value (in USD)" totalsRowFunction="sum" dataDxfId="82" totalsRowDxfId="81">
      <calculatedColumnFormula>SUMIFS(_TrackerTable[Market Value
(in USD)],_TrackerTable[Country],_USDashboardTable568[[#This Row],[Country]])</calculatedColumnFormula>
    </tableColumn>
    <tableColumn id="4" xr3:uid="{00000000-0010-0000-0E00-000004000000}" name="Percentage by Market Value" totalsRowFunction="sum" dataDxfId="80" totalsRowDxfId="79">
      <calculatedColumnFormula>IF(_USDashboardTable568[[#Totals],[Market Value (in USD)]]&gt;0,_USDashboardTable568[[#This Row],[Market Value (in USD)]]/_USDashboardTable568[[#Totals],[Market Value (in USD)]],0)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_USDashboardTable5714" displayName="_USDashboardTable5714" ref="V47:Y56" totalsRowCount="1" headerRowDxfId="78" dataDxfId="77" totalsRowDxfId="76">
  <autoFilter ref="V47:Y55" xr:uid="{00000000-0009-0000-0100-000014000000}"/>
  <sortState xmlns:xlrd2="http://schemas.microsoft.com/office/spreadsheetml/2017/richdata2" ref="V48:Y55">
    <sortCondition ref="V48"/>
  </sortState>
  <tableColumns count="4">
    <tableColumn id="1" xr3:uid="{00000000-0010-0000-1300-000001000000}" name="Category" totalsRowLabel="TOTAL" dataDxfId="75" totalsRowDxfId="74" dataCellStyle="Normal 3" totalsRowCellStyle="Normal 3"/>
    <tableColumn id="2" xr3:uid="{00000000-0010-0000-1300-000002000000}" name="Count" totalsRowFunction="sum" dataDxfId="73" totalsRowDxfId="72" totalsRowCellStyle="Normal 3">
      <calculatedColumnFormula>COUNTIFS(_TrackerTable[Country],V$46,_TrackerTable[Category],_USDashboardTable5714[[#This Row],[Category]])</calculatedColumnFormula>
    </tableColumn>
    <tableColumn id="3" xr3:uid="{00000000-0010-0000-1300-000003000000}" name="Market Value (in USD)" totalsRowFunction="sum" dataDxfId="71" totalsRowDxfId="70" totalsRowCellStyle="Normal 3">
      <calculatedColumnFormula>SUMIFS(_TrackerTable[Market Value
(in USD)],_TrackerTable[Country],V$46,_TrackerTable[Category],_USDashboardTable5714[[#This Row],[Category]])</calculatedColumnFormula>
    </tableColumn>
    <tableColumn id="4" xr3:uid="{00000000-0010-0000-1300-000004000000}" name="Percentage by Market Value" totalsRowFunction="sum" dataDxfId="69" totalsRowDxfId="68" totalsRowCellStyle="Normal 3">
      <calculatedColumnFormula>IF(_USDashboardTable5714[[#Totals],[Market Value (in USD)]]&gt;0,_USDashboardTable5714[[#This Row],[Market Value (in USD)]]/_USDashboardTable5714[[#Totals],[Market Value (in USD)]],0)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_TrackerTable" displayName="_TrackerTable" ref="B8:AC29" totalsRowCount="1" headerRowDxfId="67" dataDxfId="66" totalsRowDxfId="64" tableBorderDxfId="65">
  <sortState xmlns:xlrd2="http://schemas.microsoft.com/office/spreadsheetml/2017/richdata2" ref="B9:AC10">
    <sortCondition ref="B8:B10"/>
  </sortState>
  <tableColumns count="28">
    <tableColumn id="1" xr3:uid="{00000000-0010-0000-1500-000001000000}" name="#" dataDxfId="63" totalsRowDxfId="62"/>
    <tableColumn id="2" xr3:uid="{00000000-0010-0000-1500-000002000000}" name="Ticker" dataDxfId="61" totalsRowDxfId="60"/>
    <tableColumn id="27" xr3:uid="{00000000-0010-0000-1500-00001B000000}" name="Name" dataDxfId="59" totalsRowDxfId="58"/>
    <tableColumn id="3" xr3:uid="{00000000-0010-0000-1500-000003000000}" name="Sector" dataDxfId="57" totalsRowDxfId="56" dataCellStyle="Normal 3"/>
    <tableColumn id="4" xr3:uid="{00000000-0010-0000-1500-000004000000}" name="Category" dataDxfId="55" totalsRowDxfId="54" dataCellStyle="Normal 3"/>
    <tableColumn id="6" xr3:uid="{00000000-0010-0000-1500-000006000000}" name="Country" dataDxfId="53" totalsRowDxfId="52"/>
    <tableColumn id="7" xr3:uid="{00000000-0010-0000-1500-000007000000}" name="Listed_x000a_Currency" dataDxfId="51" totalsRowDxfId="50"/>
    <tableColumn id="8" xr3:uid="{00000000-0010-0000-1500-000008000000}" name="Exchange Rate _x000a_(1 USD to xxx Listed Currency)" dataDxfId="49" totalsRowDxfId="48"/>
    <tableColumn id="25" xr3:uid="{00000000-0010-0000-1500-000019000000}" name="Planned Allocation_x000a_(in Listed Currency)" dataDxfId="47" totalsRowDxfId="46">
      <calculatedColumnFormula>1000000/37</calculatedColumnFormula>
    </tableColumn>
    <tableColumn id="9" xr3:uid="{00000000-0010-0000-1500-000009000000}" name="Quantity" dataDxfId="45" totalsRowDxfId="44"/>
    <tableColumn id="10" xr3:uid="{00000000-0010-0000-1500-00000A000000}" name="Avg Cost_x000a_(in Listed Currency)" dataDxfId="43" totalsRowDxfId="42"/>
    <tableColumn id="21" xr3:uid="{00000000-0010-0000-1500-000015000000}" name="Valuation Date" dataDxfId="41" totalsRowDxfId="40"/>
    <tableColumn id="19" xr3:uid="{00000000-0010-0000-1500-000013000000}" name="Intrinsic Value_x000a_(in Listed Currency)" dataDxfId="39" totalsRowDxfId="38"/>
    <tableColumn id="23" xr3:uid="{00000000-0010-0000-1500-000017000000}" name="Total Dividend Received_x000a_(in Listed Currency)" dataDxfId="37" totalsRowDxfId="36"/>
    <tableColumn id="14" xr3:uid="{00000000-0010-0000-1500-00000E000000}" name="Current  Price_x000a_(in Listed Currency)" dataDxfId="35" totalsRowDxfId="34"/>
    <tableColumn id="11" xr3:uid="{00000000-0010-0000-1500-00000B000000}" name="Avg Cost_x000a_(in USD)" totalsRowLabel="TOTAL" dataDxfId="33" totalsRowDxfId="32">
      <calculatedColumnFormula>IF(I9&gt;0,L9/I9,L9/1)</calculatedColumnFormula>
    </tableColumn>
    <tableColumn id="12" xr3:uid="{00000000-0010-0000-1500-00000C000000}" name="Total Cost_x000a_(in USD)" totalsRowFunction="sum" dataDxfId="31" totalsRowDxfId="30">
      <calculatedColumnFormula>IF(AND(K9&gt;0,Q9&gt;0),K9*Q9,0)</calculatedColumnFormula>
    </tableColumn>
    <tableColumn id="28" xr3:uid="{00000000-0010-0000-1500-00001C000000}" name="Planned_x000a_Allocation_x000a_(in USD)" totalsRowFunction="sum" dataDxfId="29" totalsRowDxfId="28">
      <calculatedColumnFormula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calculatedColumnFormula>
    </tableColumn>
    <tableColumn id="24" xr3:uid="{00000000-0010-0000-1500-000018000000}" name="% Allocated" dataDxfId="27" totalsRowDxfId="26">
      <calculatedColumnFormula>IF(_TrackerTable[[#This Row],[Planned
Allocation
(in USD)]]&gt;0,_TrackerTable[[#This Row],[Total Cost
(in USD)]]/_TrackerTable[[#This Row],[Planned
Allocation
(in USD)]],0)</calculatedColumnFormula>
    </tableColumn>
    <tableColumn id="20" xr3:uid="{00000000-0010-0000-1500-000014000000}" name="Intrinsic Value_x000a_(in USD)" totalsRowDxfId="25">
      <calculatedColumnFormula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calculatedColumnFormula>
    </tableColumn>
    <tableColumn id="22" xr3:uid="{00000000-0010-0000-1500-000016000000}" name="Discount / Premium" dataDxfId="24" totalsRowDxfId="23">
      <calculatedColumnFormula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calculatedColumnFormula>
    </tableColumn>
    <tableColumn id="17" xr3:uid="{00000000-0010-0000-1500-000011000000}" name="Current Price_x000a_(in USD)" dataDxfId="22" totalsRowDxfId="21">
      <calculatedColumnFormula>IF(_TrackerTable[[#This Row],[Exchange Rate 
(1 USD to xxx Listed Currency)]]&gt;0,_TrackerTable[[#This Row],[Current  Price
(in Listed Currency)]]/_TrackerTable[[#This Row],[Exchange Rate 
(1 USD to xxx Listed Currency)]],0)</calculatedColumnFormula>
    </tableColumn>
    <tableColumn id="15" xr3:uid="{00000000-0010-0000-1500-00000F000000}" name="Market Value_x000a_(in USD)" totalsRowFunction="sum" dataDxfId="20" totalsRowDxfId="19">
      <calculatedColumnFormula>_TrackerTable[[#This Row],[Current Price
(in USD)]]*_TrackerTable[[#This Row],[Quantity]]</calculatedColumnFormula>
    </tableColumn>
    <tableColumn id="18" xr3:uid="{00000000-0010-0000-1500-000012000000}" name="% of Portfolio_x000a_(by Market Value)" totalsRowFunction="sum" dataDxfId="18" totalsRowDxfId="17">
      <calculatedColumnFormula>IF(_TrackerTable[[#Totals],[Market Value
(in USD)]]&gt;0,_TrackerTable[[#This Row],[Market Value
(in USD)]]/_TrackerTable[[#Totals],[Market Value
(in USD)]],0)</calculatedColumnFormula>
    </tableColumn>
    <tableColumn id="29" xr3:uid="{00000000-0010-0000-1500-00001D000000}" name="% Change_x000a_(excludes Dividend)" dataDxfId="16" totalsRowDxfId="15">
      <calculatedColumnFormula>IF(R9&gt;0,(X9-R9)/R9,0)</calculatedColumnFormula>
    </tableColumn>
    <tableColumn id="26" xr3:uid="{00000000-0010-0000-1500-00001A000000}" name="Total Dividend Received_x000a_(in USD)" totalsRowFunction="sum" dataDxfId="14" totalsRowDxfId="13">
      <calculatedColumnFormula>IF(O9&lt;&gt;"NA",IF(I9&gt;0,O9/I9,O9/1),"NA")</calculatedColumnFormula>
    </tableColumn>
    <tableColumn id="13" xr3:uid="{00000000-0010-0000-1500-00000D000000}" name="Total Dividend Received_x000a_(% of Total Cost)" dataDxfId="12" totalsRowDxfId="11">
      <calculatedColumnFormula>IF(AND(_TrackerTable[[#This Row],[Total Dividend Received
(in USD)]]&gt;0,_TrackerTable[[#This Row],[Total Dividend Received
(in USD)]]&lt;&gt;"NA"),_TrackerTable[[#This Row],[Total Dividend Received
(in USD)]]/_TrackerTable[[#This Row],[Total Cost
(in USD)]],0)</calculatedColumnFormula>
    </tableColumn>
    <tableColumn id="16" xr3:uid="{00000000-0010-0000-1500-000010000000}" name="% Change_x000a_(includes Dividend)" dataDxfId="10" totalsRowDxfId="9">
      <calculatedColumnFormula>IF(R9&gt;0,(X9-R9)/R9+_TrackerTable[[#This Row],[Total Dividend Received
(% of Total Cost)]],0)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arket-risk-premia.com/hk.html" TargetMode="External"/><Relationship Id="rId1" Type="http://schemas.openxmlformats.org/officeDocument/2006/relationships/hyperlink" Target="http://www.market-risk-premia.com/us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arket-risk-premia.com/hk.html" TargetMode="External"/><Relationship Id="rId1" Type="http://schemas.openxmlformats.org/officeDocument/2006/relationships/hyperlink" Target="http://www.market-risk-premia.com/us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J90"/>
  <sheetViews>
    <sheetView showGridLines="0" tabSelected="1" zoomScaleNormal="100" workbookViewId="0">
      <selection activeCell="F18" sqref="F18:H18"/>
    </sheetView>
  </sheetViews>
  <sheetFormatPr defaultColWidth="8.6328125" defaultRowHeight="12.6" x14ac:dyDescent="0.2"/>
  <cols>
    <col min="1" max="1" width="1.08984375" style="10" customWidth="1"/>
    <col min="2" max="2" width="11.453125" style="10" customWidth="1"/>
    <col min="3" max="8" width="12.6328125" style="10" customWidth="1"/>
    <col min="9" max="9" width="15.6328125" style="10" customWidth="1"/>
    <col min="10" max="15" width="12.6328125" style="10" customWidth="1"/>
    <col min="16" max="16" width="3.6328125" style="10" customWidth="1"/>
    <col min="17" max="17" width="9.6328125" style="10" customWidth="1"/>
    <col min="18" max="19" width="8.6328125" style="10" customWidth="1"/>
    <col min="20" max="20" width="9.08984375" style="10" customWidth="1"/>
    <col min="21" max="21" width="3.08984375" style="10" customWidth="1"/>
    <col min="22" max="22" width="1.453125" style="10" customWidth="1"/>
    <col min="23" max="28" width="8.6328125" style="10"/>
    <col min="29" max="29" width="8.6328125" style="48"/>
    <col min="30" max="31" width="27.453125" style="48" hidden="1" customWidth="1"/>
    <col min="32" max="32" width="29.7265625" style="48" hidden="1" customWidth="1"/>
    <col min="33" max="33" width="30.90625" style="48" hidden="1" customWidth="1"/>
    <col min="34" max="34" width="29" style="48" hidden="1" customWidth="1"/>
    <col min="35" max="35" width="27.7265625" style="48" hidden="1" customWidth="1"/>
    <col min="36" max="36" width="8.6328125" style="48"/>
    <col min="37" max="16384" width="8.6328125" style="10"/>
  </cols>
  <sheetData>
    <row r="1" spans="1:36" ht="7.5" customHeight="1" thickBot="1" x14ac:dyDescent="0.4">
      <c r="A1" s="111"/>
      <c r="B1" s="111"/>
      <c r="C1" s="112"/>
      <c r="D1" s="112"/>
      <c r="E1" s="112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1"/>
      <c r="U1" s="111"/>
      <c r="V1" s="111"/>
    </row>
    <row r="2" spans="1:36" ht="41.25" customHeight="1" x14ac:dyDescent="0.4">
      <c r="A2" s="111"/>
      <c r="B2" s="342" t="str">
        <f>"Intrinsic Value Calculator ("&amp;VLOOKUP(C12,AD6:AI8,6,FALSE)&amp;" 10 years)"</f>
        <v>Intrinsic Value Calculator (Discounted Free Cash Flow Method 10 years)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4"/>
      <c r="V2" s="111"/>
    </row>
    <row r="3" spans="1:36" ht="41.25" customHeight="1" x14ac:dyDescent="0.2">
      <c r="A3" s="111"/>
      <c r="B3" s="345" t="s">
        <v>26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7"/>
      <c r="V3" s="111"/>
      <c r="AC3" s="301"/>
      <c r="AD3" s="301"/>
      <c r="AE3" s="301"/>
      <c r="AF3" s="301"/>
      <c r="AG3" s="301"/>
      <c r="AH3" s="301"/>
      <c r="AI3" s="301"/>
      <c r="AJ3" s="301"/>
    </row>
    <row r="4" spans="1:36" ht="5.25" customHeight="1" thickBot="1" x14ac:dyDescent="0.25">
      <c r="A4" s="111"/>
      <c r="B4" s="107"/>
      <c r="C4" s="108"/>
      <c r="D4" s="108"/>
      <c r="E4" s="108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10"/>
      <c r="V4" s="111"/>
    </row>
    <row r="5" spans="1:36" ht="11.25" customHeight="1" x14ac:dyDescent="0.2">
      <c r="A5" s="111"/>
      <c r="B5" s="114"/>
      <c r="C5" s="115"/>
      <c r="D5" s="115"/>
      <c r="E5" s="115"/>
      <c r="F5" s="116"/>
      <c r="G5" s="116"/>
      <c r="H5" s="116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8"/>
      <c r="U5" s="119"/>
      <c r="V5" s="111"/>
    </row>
    <row r="6" spans="1:36" ht="30.9" customHeight="1" x14ac:dyDescent="0.4">
      <c r="A6" s="111"/>
      <c r="B6" s="114"/>
      <c r="C6" s="164" t="s">
        <v>0</v>
      </c>
      <c r="D6" s="120"/>
      <c r="E6" s="120"/>
      <c r="F6" s="121"/>
      <c r="G6" s="121"/>
      <c r="H6" s="122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15"/>
      <c r="U6" s="119"/>
      <c r="V6" s="111"/>
      <c r="AD6" s="48" t="s">
        <v>138</v>
      </c>
      <c r="AE6" s="48" t="s">
        <v>144</v>
      </c>
      <c r="AF6" s="48" t="s">
        <v>155</v>
      </c>
      <c r="AG6" s="48" t="s">
        <v>158</v>
      </c>
      <c r="AH6" s="48" t="s">
        <v>145</v>
      </c>
      <c r="AI6" s="48" t="s">
        <v>146</v>
      </c>
    </row>
    <row r="7" spans="1:36" ht="8.1" customHeight="1" x14ac:dyDescent="0.3">
      <c r="A7" s="111"/>
      <c r="B7" s="114"/>
      <c r="C7" s="124"/>
      <c r="D7" s="124"/>
      <c r="E7" s="124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15"/>
      <c r="U7" s="119"/>
      <c r="V7" s="111"/>
      <c r="AD7" s="48" t="s">
        <v>139</v>
      </c>
      <c r="AE7" s="48" t="s">
        <v>147</v>
      </c>
      <c r="AF7" s="48" t="s">
        <v>156</v>
      </c>
      <c r="AG7" s="48" t="s">
        <v>159</v>
      </c>
      <c r="AH7" s="48" t="s">
        <v>148</v>
      </c>
      <c r="AI7" s="48" t="s">
        <v>149</v>
      </c>
    </row>
    <row r="8" spans="1:36" ht="24.9" customHeight="1" x14ac:dyDescent="0.2">
      <c r="A8" s="111"/>
      <c r="B8" s="114"/>
      <c r="C8" s="143" t="s">
        <v>38</v>
      </c>
      <c r="D8" s="144"/>
      <c r="E8" s="145"/>
      <c r="F8" s="336" t="s">
        <v>186</v>
      </c>
      <c r="G8" s="337"/>
      <c r="H8" s="338"/>
      <c r="I8" s="125"/>
      <c r="J8" s="149" t="str">
        <f>"PV of 10 yr "&amp;VLOOKUP(C12,AD6:AI8,2,FALSE)</f>
        <v>PV of 10 yr Free Cash Flow</v>
      </c>
      <c r="K8" s="137"/>
      <c r="L8" s="137"/>
      <c r="M8" s="328" t="str">
        <f>$S$8</f>
        <v>USD$</v>
      </c>
      <c r="N8" s="358">
        <f>SUM(F31:O31)</f>
        <v>3910.8229342133955</v>
      </c>
      <c r="O8" s="359"/>
      <c r="P8" s="115"/>
      <c r="Q8" s="356" t="s">
        <v>160</v>
      </c>
      <c r="R8" s="357"/>
      <c r="S8" s="306" t="s">
        <v>11</v>
      </c>
      <c r="T8" s="115"/>
      <c r="U8" s="119"/>
      <c r="V8" s="111"/>
      <c r="AD8" s="48" t="s">
        <v>150</v>
      </c>
      <c r="AE8" s="48" t="s">
        <v>151</v>
      </c>
      <c r="AF8" s="48" t="s">
        <v>157</v>
      </c>
      <c r="AG8" s="48" t="s">
        <v>152</v>
      </c>
      <c r="AH8" s="48" t="s">
        <v>153</v>
      </c>
      <c r="AI8" s="48" t="s">
        <v>154</v>
      </c>
    </row>
    <row r="9" spans="1:36" ht="3.9" customHeight="1" x14ac:dyDescent="0.2">
      <c r="A9" s="111"/>
      <c r="B9" s="114"/>
      <c r="C9" s="146"/>
      <c r="D9" s="146"/>
      <c r="E9" s="146"/>
      <c r="F9" s="308"/>
      <c r="G9" s="308"/>
      <c r="H9" s="305"/>
      <c r="I9" s="123"/>
      <c r="J9" s="147"/>
      <c r="K9" s="123"/>
      <c r="L9" s="123"/>
      <c r="M9" s="320"/>
      <c r="N9" s="321"/>
      <c r="O9" s="321"/>
      <c r="P9" s="115"/>
      <c r="Q9" s="305"/>
      <c r="R9" s="305"/>
      <c r="S9" s="305"/>
      <c r="T9" s="115"/>
      <c r="U9" s="119"/>
      <c r="V9" s="111"/>
    </row>
    <row r="10" spans="1:36" ht="24.9" customHeight="1" x14ac:dyDescent="0.2">
      <c r="A10" s="111"/>
      <c r="B10" s="114"/>
      <c r="C10" s="143" t="s">
        <v>39</v>
      </c>
      <c r="D10" s="144"/>
      <c r="E10" s="144"/>
      <c r="F10" s="339" t="s">
        <v>185</v>
      </c>
      <c r="G10" s="340"/>
      <c r="H10" s="341"/>
      <c r="I10" s="123"/>
      <c r="J10" s="143" t="s">
        <v>142</v>
      </c>
      <c r="K10" s="137"/>
      <c r="L10" s="137"/>
      <c r="M10" s="328" t="str">
        <f>$S$8</f>
        <v>USD$</v>
      </c>
      <c r="N10" s="360">
        <f>IF(F26&lt;&gt;0,N8/F26,0)</f>
        <v>13.443873957419717</v>
      </c>
      <c r="O10" s="361"/>
      <c r="P10" s="115"/>
      <c r="Q10" s="356" t="s">
        <v>164</v>
      </c>
      <c r="R10" s="357"/>
      <c r="S10" s="306" t="s">
        <v>11</v>
      </c>
      <c r="T10" s="115"/>
      <c r="U10" s="119"/>
      <c r="V10" s="111"/>
    </row>
    <row r="11" spans="1:36" ht="3.9" customHeight="1" x14ac:dyDescent="0.25">
      <c r="A11" s="111"/>
      <c r="B11" s="114"/>
      <c r="C11" s="147"/>
      <c r="D11" s="147"/>
      <c r="E11" s="147"/>
      <c r="F11" s="130"/>
      <c r="G11" s="130"/>
      <c r="H11" s="129"/>
      <c r="I11" s="115"/>
      <c r="J11" s="150"/>
      <c r="K11" s="115"/>
      <c r="L11" s="115"/>
      <c r="M11" s="320"/>
      <c r="N11" s="322"/>
      <c r="O11" s="322"/>
      <c r="P11" s="115"/>
      <c r="Q11" s="129"/>
      <c r="R11" s="129"/>
      <c r="S11" s="129"/>
      <c r="T11" s="115"/>
      <c r="U11" s="119"/>
      <c r="V11" s="111"/>
    </row>
    <row r="12" spans="1:36" ht="24.9" customHeight="1" x14ac:dyDescent="0.2">
      <c r="A12" s="111"/>
      <c r="B12" s="128"/>
      <c r="C12" s="353" t="s">
        <v>150</v>
      </c>
      <c r="D12" s="354"/>
      <c r="E12" s="355"/>
      <c r="F12" s="309" t="str">
        <f>S8</f>
        <v>USD$</v>
      </c>
      <c r="G12" s="351">
        <v>81</v>
      </c>
      <c r="H12" s="352"/>
      <c r="I12" s="115"/>
      <c r="J12" s="143" t="s">
        <v>189</v>
      </c>
      <c r="K12" s="137"/>
      <c r="L12" s="137"/>
      <c r="M12" s="328" t="str">
        <f>$S$8</f>
        <v>USD$</v>
      </c>
      <c r="N12" s="360">
        <f>IF(F26&lt;&gt;0,G14/F26,0)</f>
        <v>0.97078033688552767</v>
      </c>
      <c r="O12" s="361"/>
      <c r="P12" s="115"/>
      <c r="Q12" s="115"/>
      <c r="R12" s="115"/>
      <c r="S12" s="115"/>
      <c r="T12" s="115"/>
      <c r="U12" s="119"/>
      <c r="V12" s="111"/>
    </row>
    <row r="13" spans="1:36" ht="3.9" customHeight="1" x14ac:dyDescent="0.25">
      <c r="A13" s="111"/>
      <c r="B13" s="114"/>
      <c r="C13" s="148"/>
      <c r="D13" s="148"/>
      <c r="E13" s="148"/>
      <c r="F13" s="130"/>
      <c r="G13" s="326"/>
      <c r="H13" s="327"/>
      <c r="I13" s="115"/>
      <c r="J13" s="150"/>
      <c r="K13" s="127"/>
      <c r="L13" s="127"/>
      <c r="M13" s="320"/>
      <c r="N13" s="322"/>
      <c r="O13" s="322"/>
      <c r="P13" s="115"/>
      <c r="Q13" s="115"/>
      <c r="R13" s="115"/>
      <c r="S13" s="115"/>
      <c r="T13" s="115"/>
      <c r="U13" s="119"/>
      <c r="V13" s="111"/>
    </row>
    <row r="14" spans="1:36" ht="24.9" customHeight="1" x14ac:dyDescent="0.2">
      <c r="A14" s="111"/>
      <c r="B14" s="128"/>
      <c r="C14" s="143" t="s">
        <v>48</v>
      </c>
      <c r="D14" s="144"/>
      <c r="E14" s="145"/>
      <c r="F14" s="309" t="str">
        <f>S8</f>
        <v>USD$</v>
      </c>
      <c r="G14" s="351">
        <v>282.39999999999998</v>
      </c>
      <c r="H14" s="352"/>
      <c r="I14" s="115"/>
      <c r="J14" s="143" t="s">
        <v>2</v>
      </c>
      <c r="K14" s="137"/>
      <c r="L14" s="137"/>
      <c r="M14" s="328" t="str">
        <f>$S$8</f>
        <v>USD$</v>
      </c>
      <c r="N14" s="360">
        <f>IF(F26&lt;&gt;0,G16/F26,0)</f>
        <v>2.3753867308353387</v>
      </c>
      <c r="O14" s="361"/>
      <c r="P14" s="115"/>
      <c r="Q14" s="115"/>
      <c r="R14" s="115"/>
      <c r="S14" s="115"/>
      <c r="T14" s="115"/>
      <c r="U14" s="119"/>
      <c r="V14" s="111"/>
    </row>
    <row r="15" spans="1:36" ht="3.9" customHeight="1" x14ac:dyDescent="0.25">
      <c r="A15" s="111"/>
      <c r="B15" s="114"/>
      <c r="C15" s="148"/>
      <c r="D15" s="148"/>
      <c r="E15" s="148"/>
      <c r="F15" s="130"/>
      <c r="G15" s="326"/>
      <c r="H15" s="327"/>
      <c r="I15" s="115"/>
      <c r="J15" s="150"/>
      <c r="K15" s="127"/>
      <c r="L15" s="127"/>
      <c r="M15" s="320"/>
      <c r="N15" s="322"/>
      <c r="O15" s="322"/>
      <c r="P15" s="115"/>
      <c r="Q15" s="115"/>
      <c r="R15" s="115"/>
      <c r="S15" s="115"/>
      <c r="T15" s="115"/>
      <c r="U15" s="119"/>
      <c r="V15" s="111"/>
    </row>
    <row r="16" spans="1:36" ht="24.9" customHeight="1" x14ac:dyDescent="0.2">
      <c r="A16" s="111"/>
      <c r="B16" s="128"/>
      <c r="C16" s="143" t="s">
        <v>49</v>
      </c>
      <c r="D16" s="144"/>
      <c r="E16" s="145"/>
      <c r="F16" s="309" t="str">
        <f>S8</f>
        <v>USD$</v>
      </c>
      <c r="G16" s="351">
        <v>691</v>
      </c>
      <c r="H16" s="352"/>
      <c r="I16" s="115"/>
      <c r="J16" s="370" t="s">
        <v>165</v>
      </c>
      <c r="K16" s="354"/>
      <c r="L16" s="354"/>
      <c r="M16" s="329" t="str">
        <f>$S$8</f>
        <v>USD$</v>
      </c>
      <c r="N16" s="362">
        <f>N10-N12+N14</f>
        <v>14.848480351369528</v>
      </c>
      <c r="O16" s="363"/>
      <c r="P16" s="115"/>
      <c r="Q16" s="323" t="str">
        <f>"1 "&amp;S8&amp;" = "</f>
        <v xml:space="preserve">1 USD$ = </v>
      </c>
      <c r="R16" s="313">
        <v>1</v>
      </c>
      <c r="S16" s="311" t="str">
        <f>S10</f>
        <v>USD$</v>
      </c>
      <c r="T16" s="115"/>
      <c r="U16" s="119"/>
      <c r="V16" s="111"/>
    </row>
    <row r="17" spans="1:22" ht="3.9" customHeight="1" x14ac:dyDescent="0.2">
      <c r="A17" s="111"/>
      <c r="B17" s="114"/>
      <c r="C17" s="148"/>
      <c r="D17" s="148"/>
      <c r="E17" s="148"/>
      <c r="F17" s="130"/>
      <c r="G17" s="130"/>
      <c r="H17" s="129"/>
      <c r="I17" s="115"/>
      <c r="J17" s="307"/>
      <c r="K17" s="307"/>
      <c r="L17" s="307"/>
      <c r="M17" s="320"/>
      <c r="N17" s="322"/>
      <c r="O17" s="322"/>
      <c r="P17" s="115"/>
      <c r="Q17" s="115"/>
      <c r="R17" s="115"/>
      <c r="S17" s="115"/>
      <c r="T17" s="115"/>
      <c r="U17" s="119"/>
      <c r="V17" s="111"/>
    </row>
    <row r="18" spans="1:22" ht="24.9" customHeight="1" x14ac:dyDescent="0.2">
      <c r="A18" s="111"/>
      <c r="B18" s="114"/>
      <c r="C18" s="143" t="str">
        <f>VLOOKUP(C12,AD6:AI8,3,FALSE)</f>
        <v>Free Cash Flow Growth Rate (Yr 1 - 5)</v>
      </c>
      <c r="D18" s="144"/>
      <c r="E18" s="145"/>
      <c r="F18" s="348">
        <v>0.5</v>
      </c>
      <c r="G18" s="349"/>
      <c r="H18" s="350"/>
      <c r="I18" s="115"/>
      <c r="J18" s="370" t="s">
        <v>166</v>
      </c>
      <c r="K18" s="354"/>
      <c r="L18" s="354"/>
      <c r="M18" s="324" t="str">
        <f>$S$10</f>
        <v>USD$</v>
      </c>
      <c r="N18" s="381">
        <f>N16*R16</f>
        <v>14.848480351369528</v>
      </c>
      <c r="O18" s="382"/>
      <c r="P18" s="115"/>
      <c r="Q18" s="115"/>
      <c r="R18" s="115"/>
      <c r="S18" s="115"/>
      <c r="T18" s="115"/>
      <c r="U18" s="119"/>
      <c r="V18" s="111"/>
    </row>
    <row r="19" spans="1:22" ht="3.9" customHeight="1" x14ac:dyDescent="0.2">
      <c r="A19" s="111"/>
      <c r="B19" s="114"/>
      <c r="C19" s="115"/>
      <c r="D19" s="115"/>
      <c r="E19" s="115"/>
      <c r="F19" s="130"/>
      <c r="G19" s="130"/>
      <c r="H19" s="129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9"/>
      <c r="V19" s="111"/>
    </row>
    <row r="20" spans="1:22" ht="24.9" customHeight="1" x14ac:dyDescent="0.2">
      <c r="A20" s="111"/>
      <c r="B20" s="114"/>
      <c r="C20" s="143" t="str">
        <f>VLOOKUP(C12,AD6:AI8,4,FALSE)</f>
        <v>Free Cash Flow growth rate (Yr 6 - 10)</v>
      </c>
      <c r="D20" s="144"/>
      <c r="E20" s="145"/>
      <c r="F20" s="348">
        <v>0.11</v>
      </c>
      <c r="G20" s="349"/>
      <c r="H20" s="350"/>
      <c r="I20" s="126"/>
      <c r="J20" s="143" t="s">
        <v>136</v>
      </c>
      <c r="K20" s="138"/>
      <c r="L20" s="139"/>
      <c r="M20" s="379">
        <f>M22/N18-1</f>
        <v>-0.46391820498548042</v>
      </c>
      <c r="N20" s="380"/>
      <c r="O20" s="115"/>
      <c r="P20" s="115"/>
      <c r="Q20" s="115"/>
      <c r="R20" s="115"/>
      <c r="S20" s="115"/>
      <c r="T20" s="115"/>
      <c r="U20" s="119"/>
      <c r="V20" s="111"/>
    </row>
    <row r="21" spans="1:22" ht="3.9" customHeight="1" x14ac:dyDescent="0.25">
      <c r="A21" s="111"/>
      <c r="B21" s="114"/>
      <c r="C21" s="115"/>
      <c r="D21" s="115"/>
      <c r="E21" s="115"/>
      <c r="F21" s="129"/>
      <c r="G21" s="129"/>
      <c r="H21" s="129"/>
      <c r="I21" s="115"/>
      <c r="J21" s="150"/>
      <c r="K21" s="130"/>
      <c r="L21" s="130"/>
      <c r="M21" s="129"/>
      <c r="N21" s="129"/>
      <c r="O21" s="115"/>
      <c r="P21" s="115"/>
      <c r="Q21" s="115"/>
      <c r="R21" s="115"/>
      <c r="S21" s="115"/>
      <c r="T21" s="115"/>
      <c r="U21" s="119"/>
      <c r="V21" s="111"/>
    </row>
    <row r="22" spans="1:22" ht="24.9" customHeight="1" x14ac:dyDescent="0.2">
      <c r="A22" s="111"/>
      <c r="B22" s="114"/>
      <c r="C22" s="126"/>
      <c r="D22" s="126"/>
      <c r="E22" s="126"/>
      <c r="F22" s="310"/>
      <c r="G22" s="310"/>
      <c r="H22" s="129"/>
      <c r="I22" s="115"/>
      <c r="J22" s="143" t="s">
        <v>59</v>
      </c>
      <c r="K22" s="151"/>
      <c r="L22" s="309" t="str">
        <f>$S$10</f>
        <v>USD$</v>
      </c>
      <c r="M22" s="364">
        <v>7.96</v>
      </c>
      <c r="N22" s="365"/>
      <c r="O22" s="115"/>
      <c r="P22" s="115"/>
      <c r="Q22" s="115"/>
      <c r="R22" s="115"/>
      <c r="S22" s="115"/>
      <c r="T22" s="115"/>
      <c r="U22" s="119"/>
      <c r="V22" s="111"/>
    </row>
    <row r="23" spans="1:22" ht="3.9" customHeight="1" x14ac:dyDescent="0.25">
      <c r="A23" s="111"/>
      <c r="B23" s="114"/>
      <c r="C23" s="126"/>
      <c r="D23" s="126"/>
      <c r="E23" s="126"/>
      <c r="F23" s="310"/>
      <c r="G23" s="310"/>
      <c r="H23" s="129"/>
      <c r="I23" s="115"/>
      <c r="J23" s="150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9"/>
      <c r="V23" s="111"/>
    </row>
    <row r="24" spans="1:22" ht="24.9" customHeight="1" x14ac:dyDescent="0.2">
      <c r="A24" s="111"/>
      <c r="B24" s="114"/>
      <c r="C24" s="126"/>
      <c r="D24" s="126"/>
      <c r="E24" s="126"/>
      <c r="F24" s="310"/>
      <c r="G24" s="310"/>
      <c r="H24" s="129"/>
      <c r="I24" s="115"/>
      <c r="J24" s="143" t="s">
        <v>37</v>
      </c>
      <c r="K24" s="142"/>
      <c r="L24" s="366">
        <f ca="1">YEAR(TODAY())-1</f>
        <v>2022</v>
      </c>
      <c r="M24" s="367"/>
      <c r="N24" s="136" t="s">
        <v>43</v>
      </c>
      <c r="O24" s="115"/>
      <c r="P24" s="115"/>
      <c r="Q24" s="115"/>
      <c r="R24" s="115"/>
      <c r="S24" s="115"/>
      <c r="T24" s="115"/>
      <c r="U24" s="119"/>
      <c r="V24" s="111"/>
    </row>
    <row r="25" spans="1:22" ht="3.9" customHeight="1" x14ac:dyDescent="0.2">
      <c r="A25" s="111"/>
      <c r="B25" s="114"/>
      <c r="C25" s="126"/>
      <c r="D25" s="126"/>
      <c r="E25" s="126"/>
      <c r="F25" s="310"/>
      <c r="G25" s="310"/>
      <c r="H25" s="129"/>
      <c r="I25" s="115"/>
      <c r="J25" s="146"/>
      <c r="K25" s="131"/>
      <c r="L25" s="115"/>
      <c r="M25" s="115"/>
      <c r="N25" s="115"/>
      <c r="O25" s="115"/>
      <c r="P25" s="115"/>
      <c r="Q25" s="115"/>
      <c r="R25" s="115"/>
      <c r="S25" s="115"/>
      <c r="T25" s="115"/>
      <c r="U25" s="119"/>
      <c r="V25" s="111"/>
    </row>
    <row r="26" spans="1:22" ht="24.9" customHeight="1" x14ac:dyDescent="0.2">
      <c r="A26" s="111"/>
      <c r="B26" s="114"/>
      <c r="C26" s="140" t="s">
        <v>42</v>
      </c>
      <c r="D26" s="151"/>
      <c r="E26" s="141"/>
      <c r="F26" s="371">
        <v>290.89999999999998</v>
      </c>
      <c r="G26" s="372"/>
      <c r="H26" s="373"/>
      <c r="I26" s="115"/>
      <c r="J26" s="143" t="s">
        <v>40</v>
      </c>
      <c r="K26" s="142"/>
      <c r="L26" s="377">
        <v>6.0999999999999999E-2</v>
      </c>
      <c r="M26" s="378"/>
      <c r="N26" s="115"/>
      <c r="O26" s="115"/>
      <c r="P26" s="115"/>
      <c r="Q26" s="115"/>
      <c r="R26" s="115"/>
      <c r="S26" s="115"/>
      <c r="T26" s="115"/>
      <c r="U26" s="119"/>
      <c r="V26" s="111"/>
    </row>
    <row r="27" spans="1:22" ht="8.1" customHeight="1" x14ac:dyDescent="0.2">
      <c r="A27" s="11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9"/>
      <c r="V27" s="111"/>
    </row>
    <row r="28" spans="1:22" ht="18" customHeight="1" x14ac:dyDescent="0.2">
      <c r="A28" s="111"/>
      <c r="B28" s="114"/>
      <c r="C28" s="153" t="s">
        <v>15</v>
      </c>
      <c r="D28" s="154"/>
      <c r="E28" s="155"/>
      <c r="F28" s="156">
        <f ca="1">$L$24+1</f>
        <v>2023</v>
      </c>
      <c r="G28" s="156">
        <f ca="1">$L$24+2</f>
        <v>2024</v>
      </c>
      <c r="H28" s="156">
        <f ca="1">$L$24+3</f>
        <v>2025</v>
      </c>
      <c r="I28" s="156">
        <f ca="1">$L$24+4</f>
        <v>2026</v>
      </c>
      <c r="J28" s="156">
        <f ca="1">$L$24+5</f>
        <v>2027</v>
      </c>
      <c r="K28" s="156">
        <f ca="1">$L$24+6</f>
        <v>2028</v>
      </c>
      <c r="L28" s="156">
        <f ca="1">$L$24+7</f>
        <v>2029</v>
      </c>
      <c r="M28" s="156">
        <f ca="1">$L$24+8</f>
        <v>2030</v>
      </c>
      <c r="N28" s="156">
        <f ca="1">$L$24+9</f>
        <v>2031</v>
      </c>
      <c r="O28" s="156">
        <f ca="1">$L$24+10</f>
        <v>2032</v>
      </c>
      <c r="P28" s="115"/>
      <c r="Q28" s="115"/>
      <c r="R28" s="115"/>
      <c r="S28" s="115"/>
      <c r="T28" s="115"/>
      <c r="U28" s="119"/>
      <c r="V28" s="111"/>
    </row>
    <row r="29" spans="1:22" ht="18" customHeight="1" x14ac:dyDescent="0.2">
      <c r="A29" s="111"/>
      <c r="B29" s="114"/>
      <c r="C29" s="374" t="str">
        <f>VLOOKUP(C12,AD6:AI8,5,FALSE)</f>
        <v>Free Cash Flow (Projected)</v>
      </c>
      <c r="D29" s="375"/>
      <c r="E29" s="376"/>
      <c r="F29" s="152">
        <f>(G12)*(1+F18)</f>
        <v>121.5</v>
      </c>
      <c r="G29" s="152">
        <f>($F29)*(1+$F$18)</f>
        <v>182.25</v>
      </c>
      <c r="H29" s="152">
        <f>(G$29)*(1+$F$18)</f>
        <v>273.375</v>
      </c>
      <c r="I29" s="152">
        <f>(H$29)*(1+$F$18)</f>
        <v>410.0625</v>
      </c>
      <c r="J29" s="152">
        <f>(I$29)*(1+$F$18)</f>
        <v>615.09375</v>
      </c>
      <c r="K29" s="152">
        <f>(J$29)*(1+$F$20)</f>
        <v>682.75406250000003</v>
      </c>
      <c r="L29" s="152">
        <f>(K$29)*(1+$F$20)</f>
        <v>757.85700937500008</v>
      </c>
      <c r="M29" s="152">
        <f>(L$29)*(1+$F$20)</f>
        <v>841.22128040625012</v>
      </c>
      <c r="N29" s="152">
        <f>(M$29)*(1+$F$20)</f>
        <v>933.75562125093768</v>
      </c>
      <c r="O29" s="152">
        <f>(N$29)*(1+$F$20)</f>
        <v>1036.468739588541</v>
      </c>
      <c r="P29" s="115"/>
      <c r="Q29" s="115"/>
      <c r="R29" s="115"/>
      <c r="S29" s="115"/>
      <c r="T29" s="115"/>
      <c r="U29" s="119"/>
      <c r="V29" s="111"/>
    </row>
    <row r="30" spans="1:22" ht="18" customHeight="1" x14ac:dyDescent="0.2">
      <c r="A30" s="111"/>
      <c r="B30" s="114"/>
      <c r="C30" s="157" t="s">
        <v>17</v>
      </c>
      <c r="D30" s="158"/>
      <c r="E30" s="159"/>
      <c r="F30" s="132">
        <f>1/(1+$L$26)</f>
        <v>0.94250706880301605</v>
      </c>
      <c r="G30" s="132">
        <f>F$30/(1+$L$26)</f>
        <v>0.8883195747436532</v>
      </c>
      <c r="H30" s="132">
        <f t="shared" ref="H30:O30" si="0">G$30/(1+$L$26)</f>
        <v>0.83724747855198234</v>
      </c>
      <c r="I30" s="132">
        <f t="shared" si="0"/>
        <v>0.78911166687274492</v>
      </c>
      <c r="J30" s="132">
        <f t="shared" si="0"/>
        <v>0.74374332410249289</v>
      </c>
      <c r="K30" s="132">
        <f t="shared" si="0"/>
        <v>0.70098334034165211</v>
      </c>
      <c r="L30" s="132">
        <f t="shared" si="0"/>
        <v>0.66068175338515756</v>
      </c>
      <c r="M30" s="132">
        <f t="shared" si="0"/>
        <v>0.62269722279468198</v>
      </c>
      <c r="N30" s="132">
        <f t="shared" si="0"/>
        <v>0.58689653420799437</v>
      </c>
      <c r="O30" s="132">
        <f t="shared" si="0"/>
        <v>0.5531541321470258</v>
      </c>
      <c r="P30" s="115"/>
      <c r="Q30" s="115"/>
      <c r="R30" s="115"/>
      <c r="S30" s="115"/>
      <c r="T30" s="115"/>
      <c r="U30" s="119"/>
      <c r="V30" s="111"/>
    </row>
    <row r="31" spans="1:22" ht="18" customHeight="1" x14ac:dyDescent="0.2">
      <c r="A31" s="111"/>
      <c r="B31" s="114"/>
      <c r="C31" s="160" t="s">
        <v>18</v>
      </c>
      <c r="D31" s="161"/>
      <c r="E31" s="162"/>
      <c r="F31" s="163">
        <f>F29*F30</f>
        <v>114.51460885956645</v>
      </c>
      <c r="G31" s="163">
        <f t="shared" ref="G31:O31" si="1">G29*G30</f>
        <v>161.89624249703078</v>
      </c>
      <c r="H31" s="163">
        <f t="shared" si="1"/>
        <v>228.88252944914817</v>
      </c>
      <c r="I31" s="163">
        <f t="shared" si="1"/>
        <v>323.58510289700496</v>
      </c>
      <c r="J31" s="163">
        <f t="shared" si="1"/>
        <v>457.47187025966775</v>
      </c>
      <c r="K31" s="163">
        <f t="shared" si="1"/>
        <v>478.59922336308313</v>
      </c>
      <c r="L31" s="163">
        <f t="shared" si="1"/>
        <v>500.70229776910685</v>
      </c>
      <c r="M31" s="163">
        <f t="shared" si="1"/>
        <v>523.82615506475838</v>
      </c>
      <c r="N31" s="163">
        <f t="shared" si="1"/>
        <v>548.01793790940803</v>
      </c>
      <c r="O31" s="163">
        <f t="shared" si="1"/>
        <v>573.32696614462111</v>
      </c>
      <c r="P31" s="115"/>
      <c r="Q31" s="115"/>
      <c r="R31" s="115"/>
      <c r="S31" s="115"/>
      <c r="T31" s="115"/>
      <c r="U31" s="119"/>
      <c r="V31" s="111"/>
    </row>
    <row r="32" spans="1:22" x14ac:dyDescent="0.2">
      <c r="A32" s="111"/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9"/>
      <c r="V32" s="111"/>
    </row>
    <row r="33" spans="1:22" x14ac:dyDescent="0.2">
      <c r="A33" s="111"/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9"/>
      <c r="V33" s="111"/>
    </row>
    <row r="34" spans="1:22" x14ac:dyDescent="0.2">
      <c r="A34" s="111"/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9"/>
      <c r="V34" s="111"/>
    </row>
    <row r="35" spans="1:22" x14ac:dyDescent="0.2">
      <c r="A35" s="111"/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9"/>
      <c r="V35" s="111"/>
    </row>
    <row r="36" spans="1:22" x14ac:dyDescent="0.2">
      <c r="A36" s="111"/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9"/>
      <c r="V36" s="111"/>
    </row>
    <row r="37" spans="1:22" x14ac:dyDescent="0.2">
      <c r="A37" s="111"/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9"/>
      <c r="V37" s="111"/>
    </row>
    <row r="38" spans="1:22" x14ac:dyDescent="0.2">
      <c r="A38" s="111"/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9"/>
      <c r="V38" s="111"/>
    </row>
    <row r="39" spans="1:22" x14ac:dyDescent="0.2">
      <c r="A39" s="111"/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9"/>
      <c r="V39" s="111"/>
    </row>
    <row r="40" spans="1:22" x14ac:dyDescent="0.2">
      <c r="A40" s="111"/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9"/>
      <c r="V40" s="111"/>
    </row>
    <row r="41" spans="1:22" x14ac:dyDescent="0.2">
      <c r="A41" s="111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9"/>
      <c r="V41" s="111"/>
    </row>
    <row r="42" spans="1:22" x14ac:dyDescent="0.2">
      <c r="A42" s="111"/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9"/>
      <c r="V42" s="111"/>
    </row>
    <row r="43" spans="1:22" x14ac:dyDescent="0.2">
      <c r="A43" s="111"/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9"/>
      <c r="V43" s="111"/>
    </row>
    <row r="44" spans="1:22" x14ac:dyDescent="0.2">
      <c r="A44" s="111"/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9"/>
      <c r="V44" s="111"/>
    </row>
    <row r="45" spans="1:22" x14ac:dyDescent="0.2">
      <c r="A45" s="111"/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9"/>
      <c r="V45" s="111"/>
    </row>
    <row r="46" spans="1:22" x14ac:dyDescent="0.2">
      <c r="A46" s="111"/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9"/>
      <c r="V46" s="111"/>
    </row>
    <row r="47" spans="1:22" ht="13.2" thickBot="1" x14ac:dyDescent="0.25">
      <c r="A47" s="111"/>
      <c r="B47" s="114"/>
      <c r="C47" s="115"/>
      <c r="D47" s="115"/>
      <c r="E47" s="115"/>
      <c r="F47" s="115"/>
      <c r="G47" s="115"/>
      <c r="H47" s="115"/>
      <c r="I47" s="133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9"/>
      <c r="V47" s="111"/>
    </row>
    <row r="48" spans="1:22" x14ac:dyDescent="0.2">
      <c r="A48" s="111"/>
      <c r="B48" s="114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9"/>
      <c r="V48" s="111"/>
    </row>
    <row r="49" spans="1:36" ht="13.2" thickBot="1" x14ac:dyDescent="0.25">
      <c r="A49" s="111"/>
      <c r="B49" s="134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5"/>
      <c r="V49" s="111"/>
    </row>
    <row r="50" spans="1:36" x14ac:dyDescent="0.2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</row>
    <row r="51" spans="1:36" ht="17.399999999999999" x14ac:dyDescent="0.3">
      <c r="A51" s="111"/>
      <c r="B51" s="168"/>
      <c r="C51" s="181" t="s">
        <v>129</v>
      </c>
      <c r="D51" s="169"/>
      <c r="E51" s="169"/>
      <c r="F51" s="170"/>
      <c r="G51" s="170"/>
      <c r="H51" s="170"/>
      <c r="I51" s="168"/>
      <c r="J51" s="181" t="s">
        <v>130</v>
      </c>
      <c r="K51" s="170"/>
      <c r="L51" s="170"/>
      <c r="M51" s="170"/>
      <c r="N51" s="170"/>
      <c r="O51" s="111"/>
      <c r="P51" s="111"/>
      <c r="Q51" s="111"/>
      <c r="R51" s="111"/>
      <c r="S51" s="111"/>
      <c r="T51" s="111"/>
      <c r="U51" s="111"/>
      <c r="V51" s="111"/>
      <c r="AC51" s="302"/>
      <c r="AD51" s="302"/>
      <c r="AE51" s="302"/>
      <c r="AF51" s="302"/>
      <c r="AG51" s="302"/>
      <c r="AH51" s="302"/>
      <c r="AI51" s="302"/>
      <c r="AJ51" s="302"/>
    </row>
    <row r="52" spans="1:36" ht="16.2" thickBot="1" x14ac:dyDescent="0.35">
      <c r="A52" s="111"/>
      <c r="B52" s="168"/>
      <c r="C52" s="171"/>
      <c r="D52" s="172"/>
      <c r="E52" s="173"/>
      <c r="F52" s="170"/>
      <c r="G52" s="170"/>
      <c r="H52" s="170"/>
      <c r="I52" s="168"/>
      <c r="J52" s="173"/>
      <c r="K52" s="173"/>
      <c r="L52" s="170"/>
      <c r="M52" s="170"/>
      <c r="N52" s="170"/>
      <c r="O52" s="111"/>
      <c r="P52" s="111"/>
      <c r="Q52" s="111"/>
      <c r="R52" s="111"/>
      <c r="S52" s="111"/>
      <c r="T52" s="111"/>
      <c r="U52" s="111"/>
      <c r="V52" s="111"/>
    </row>
    <row r="53" spans="1:36" ht="25.5" customHeight="1" thickBot="1" x14ac:dyDescent="0.35">
      <c r="A53" s="111"/>
      <c r="B53" s="168"/>
      <c r="C53" s="174" t="s">
        <v>45</v>
      </c>
      <c r="D53" s="175"/>
      <c r="E53" s="175" t="s">
        <v>46</v>
      </c>
      <c r="F53" s="176"/>
      <c r="G53" s="170"/>
      <c r="H53" s="170"/>
      <c r="I53" s="168"/>
      <c r="J53" s="182" t="s">
        <v>45</v>
      </c>
      <c r="K53" s="183"/>
      <c r="L53" s="183" t="s">
        <v>46</v>
      </c>
      <c r="M53" s="184"/>
      <c r="N53" s="170"/>
      <c r="O53" s="165"/>
      <c r="P53" s="165"/>
      <c r="Q53" s="165"/>
      <c r="R53" s="165"/>
      <c r="S53" s="165"/>
      <c r="T53" s="111"/>
      <c r="U53" s="111"/>
      <c r="V53" s="111"/>
    </row>
    <row r="54" spans="1:36" s="43" customFormat="1" ht="16.2" x14ac:dyDescent="0.2">
      <c r="A54" s="106"/>
      <c r="B54" s="177"/>
      <c r="C54" s="196" t="s">
        <v>44</v>
      </c>
      <c r="D54" s="197"/>
      <c r="E54" s="198">
        <f>E64+0.8*E65</f>
        <v>4.6400000000000011E-2</v>
      </c>
      <c r="F54" s="187"/>
      <c r="G54" s="178"/>
      <c r="H54" s="178"/>
      <c r="I54" s="177"/>
      <c r="J54" s="196" t="s">
        <v>44</v>
      </c>
      <c r="K54" s="205"/>
      <c r="L54" s="206">
        <f>L64+0.8*L65</f>
        <v>5.8800000000000005E-2</v>
      </c>
      <c r="M54" s="187"/>
      <c r="N54" s="178"/>
      <c r="O54" s="167"/>
      <c r="P54" s="167"/>
      <c r="Q54" s="167"/>
      <c r="R54" s="167"/>
      <c r="S54" s="167"/>
      <c r="T54" s="106"/>
      <c r="U54" s="106"/>
      <c r="V54" s="106"/>
      <c r="AC54" s="303"/>
      <c r="AD54" s="303"/>
      <c r="AE54" s="303"/>
      <c r="AF54" s="303"/>
      <c r="AG54" s="303"/>
      <c r="AH54" s="303"/>
      <c r="AI54" s="303"/>
      <c r="AJ54" s="303"/>
    </row>
    <row r="55" spans="1:36" s="43" customFormat="1" ht="16.2" x14ac:dyDescent="0.2">
      <c r="A55" s="106"/>
      <c r="B55" s="177"/>
      <c r="C55" s="199">
        <v>1</v>
      </c>
      <c r="D55" s="200"/>
      <c r="E55" s="201">
        <f>E64+C55*E65</f>
        <v>5.6400000000000006E-2</v>
      </c>
      <c r="F55" s="190"/>
      <c r="G55" s="178"/>
      <c r="H55" s="178"/>
      <c r="I55" s="177"/>
      <c r="J55" s="199">
        <v>1</v>
      </c>
      <c r="K55" s="207"/>
      <c r="L55" s="208">
        <f>L64+J55*L65</f>
        <v>7.2000000000000008E-2</v>
      </c>
      <c r="M55" s="190"/>
      <c r="N55" s="178"/>
      <c r="O55" s="167"/>
      <c r="P55" s="167"/>
      <c r="Q55" s="167"/>
      <c r="R55" s="167"/>
      <c r="S55" s="167"/>
      <c r="T55" s="106"/>
      <c r="U55" s="106"/>
      <c r="V55" s="106"/>
      <c r="AC55" s="303"/>
      <c r="AD55" s="303"/>
      <c r="AE55" s="303"/>
      <c r="AF55" s="303"/>
      <c r="AG55" s="303"/>
      <c r="AH55" s="303"/>
      <c r="AI55" s="303"/>
      <c r="AJ55" s="303"/>
    </row>
    <row r="56" spans="1:36" s="43" customFormat="1" ht="16.2" x14ac:dyDescent="0.2">
      <c r="A56" s="106"/>
      <c r="B56" s="177"/>
      <c r="C56" s="199">
        <v>1.1000000000000001</v>
      </c>
      <c r="D56" s="200"/>
      <c r="E56" s="201">
        <f>E64+C56*E65</f>
        <v>6.140000000000001E-2</v>
      </c>
      <c r="F56" s="190"/>
      <c r="G56" s="178"/>
      <c r="H56" s="178"/>
      <c r="I56" s="177"/>
      <c r="J56" s="199">
        <v>1.1000000000000001</v>
      </c>
      <c r="K56" s="207"/>
      <c r="L56" s="208">
        <f>L64+J56*L65</f>
        <v>7.8600000000000017E-2</v>
      </c>
      <c r="M56" s="190"/>
      <c r="N56" s="178"/>
      <c r="O56" s="167"/>
      <c r="P56" s="167"/>
      <c r="Q56" s="167"/>
      <c r="R56" s="167"/>
      <c r="S56" s="167"/>
      <c r="T56" s="106"/>
      <c r="U56" s="106"/>
      <c r="V56" s="106"/>
      <c r="AC56" s="303"/>
      <c r="AD56" s="303"/>
      <c r="AE56" s="303"/>
      <c r="AF56" s="303"/>
      <c r="AG56" s="303"/>
      <c r="AH56" s="303"/>
      <c r="AI56" s="303"/>
      <c r="AJ56" s="303"/>
    </row>
    <row r="57" spans="1:36" s="43" customFormat="1" ht="16.2" x14ac:dyDescent="0.2">
      <c r="A57" s="106"/>
      <c r="B57" s="177"/>
      <c r="C57" s="199">
        <v>1.2</v>
      </c>
      <c r="D57" s="200"/>
      <c r="E57" s="201">
        <f>E64+C57*E65</f>
        <v>6.6400000000000001E-2</v>
      </c>
      <c r="F57" s="190"/>
      <c r="G57" s="178"/>
      <c r="H57" s="178"/>
      <c r="I57" s="177"/>
      <c r="J57" s="199">
        <v>1.2</v>
      </c>
      <c r="K57" s="207"/>
      <c r="L57" s="208">
        <f>L64+J57*L65</f>
        <v>8.5200000000000012E-2</v>
      </c>
      <c r="M57" s="190"/>
      <c r="N57" s="178"/>
      <c r="O57" s="167"/>
      <c r="P57" s="167"/>
      <c r="Q57" s="167"/>
      <c r="R57" s="167"/>
      <c r="S57" s="167"/>
      <c r="T57" s="106"/>
      <c r="U57" s="106"/>
      <c r="V57" s="106"/>
      <c r="AC57" s="303"/>
      <c r="AD57" s="303"/>
      <c r="AE57" s="303"/>
      <c r="AF57" s="303"/>
      <c r="AG57" s="303"/>
      <c r="AH57" s="303"/>
      <c r="AI57" s="303"/>
      <c r="AJ57" s="303"/>
    </row>
    <row r="58" spans="1:36" s="43" customFormat="1" ht="16.2" x14ac:dyDescent="0.2">
      <c r="A58" s="106"/>
      <c r="B58" s="177"/>
      <c r="C58" s="199">
        <v>1.3</v>
      </c>
      <c r="D58" s="200"/>
      <c r="E58" s="201">
        <f>E64+C58*E65</f>
        <v>7.1400000000000005E-2</v>
      </c>
      <c r="F58" s="190"/>
      <c r="G58" s="178"/>
      <c r="H58" s="178"/>
      <c r="I58" s="177"/>
      <c r="J58" s="199">
        <v>1.3</v>
      </c>
      <c r="K58" s="207"/>
      <c r="L58" s="208">
        <f>L64+J58*L65</f>
        <v>9.1800000000000007E-2</v>
      </c>
      <c r="M58" s="190"/>
      <c r="N58" s="178"/>
      <c r="O58" s="167"/>
      <c r="P58" s="167"/>
      <c r="Q58" s="167"/>
      <c r="R58" s="167"/>
      <c r="S58" s="167"/>
      <c r="T58" s="106"/>
      <c r="U58" s="106"/>
      <c r="V58" s="106"/>
      <c r="AC58" s="303"/>
      <c r="AD58" s="303"/>
      <c r="AE58" s="303"/>
      <c r="AF58" s="303"/>
      <c r="AG58" s="303"/>
      <c r="AH58" s="303"/>
      <c r="AI58" s="303"/>
      <c r="AJ58" s="303"/>
    </row>
    <row r="59" spans="1:36" s="43" customFormat="1" ht="16.2" x14ac:dyDescent="0.2">
      <c r="A59" s="106"/>
      <c r="B59" s="177"/>
      <c r="C59" s="199">
        <v>1.4</v>
      </c>
      <c r="D59" s="200"/>
      <c r="E59" s="201">
        <f>E64+C59*E65</f>
        <v>7.6399999999999996E-2</v>
      </c>
      <c r="F59" s="190"/>
      <c r="G59" s="178"/>
      <c r="H59" s="178"/>
      <c r="I59" s="177"/>
      <c r="J59" s="199">
        <v>1.4</v>
      </c>
      <c r="K59" s="207"/>
      <c r="L59" s="208">
        <f>L64+J59*L65</f>
        <v>9.8400000000000001E-2</v>
      </c>
      <c r="M59" s="190"/>
      <c r="N59" s="178"/>
      <c r="O59" s="167"/>
      <c r="P59" s="167"/>
      <c r="Q59" s="167"/>
      <c r="R59" s="167"/>
      <c r="S59" s="167"/>
      <c r="T59" s="106"/>
      <c r="U59" s="106"/>
      <c r="V59" s="106"/>
      <c r="AC59" s="303"/>
      <c r="AD59" s="303"/>
      <c r="AE59" s="303"/>
      <c r="AF59" s="303"/>
      <c r="AG59" s="303"/>
      <c r="AH59" s="303"/>
      <c r="AI59" s="303"/>
      <c r="AJ59" s="303"/>
    </row>
    <row r="60" spans="1:36" s="43" customFormat="1" ht="16.2" x14ac:dyDescent="0.2">
      <c r="A60" s="106"/>
      <c r="B60" s="177"/>
      <c r="C60" s="199">
        <v>1.5</v>
      </c>
      <c r="D60" s="200"/>
      <c r="E60" s="201">
        <f>E64+C60*E65</f>
        <v>8.1400000000000014E-2</v>
      </c>
      <c r="F60" s="190"/>
      <c r="G60" s="178"/>
      <c r="H60" s="178"/>
      <c r="I60" s="177"/>
      <c r="J60" s="199">
        <v>1.5</v>
      </c>
      <c r="K60" s="207"/>
      <c r="L60" s="208">
        <f>L64+J60*L65</f>
        <v>0.10500000000000001</v>
      </c>
      <c r="M60" s="190"/>
      <c r="N60" s="178"/>
      <c r="O60" s="167"/>
      <c r="P60" s="167"/>
      <c r="Q60" s="167"/>
      <c r="R60" s="167"/>
      <c r="S60" s="167"/>
      <c r="T60" s="106"/>
      <c r="U60" s="106"/>
      <c r="V60" s="106"/>
      <c r="AC60" s="303"/>
      <c r="AD60" s="303"/>
      <c r="AE60" s="303"/>
      <c r="AF60" s="303"/>
      <c r="AG60" s="303"/>
      <c r="AH60" s="303"/>
      <c r="AI60" s="303"/>
      <c r="AJ60" s="303"/>
    </row>
    <row r="61" spans="1:36" s="43" customFormat="1" ht="15" customHeight="1" thickBot="1" x14ac:dyDescent="0.25">
      <c r="A61" s="106"/>
      <c r="B61" s="177"/>
      <c r="C61" s="202" t="s">
        <v>47</v>
      </c>
      <c r="D61" s="203"/>
      <c r="E61" s="204">
        <f>E64+1.6*E65</f>
        <v>8.6400000000000018E-2</v>
      </c>
      <c r="F61" s="193"/>
      <c r="G61" s="178"/>
      <c r="H61" s="178"/>
      <c r="I61" s="177"/>
      <c r="J61" s="202" t="s">
        <v>47</v>
      </c>
      <c r="K61" s="209"/>
      <c r="L61" s="330">
        <f>L64+1.6*L65</f>
        <v>0.11160000000000002</v>
      </c>
      <c r="M61" s="193"/>
      <c r="N61" s="178"/>
      <c r="O61" s="167"/>
      <c r="P61" s="167"/>
      <c r="Q61" s="167"/>
      <c r="R61" s="167"/>
      <c r="S61" s="167"/>
      <c r="T61" s="106"/>
      <c r="U61" s="106"/>
      <c r="V61" s="106"/>
      <c r="AC61" s="303"/>
      <c r="AD61" s="303"/>
      <c r="AE61" s="303"/>
      <c r="AF61" s="303"/>
      <c r="AG61" s="303"/>
      <c r="AH61" s="303"/>
      <c r="AI61" s="303"/>
      <c r="AJ61" s="303"/>
    </row>
    <row r="62" spans="1:36" ht="16.2" x14ac:dyDescent="0.3">
      <c r="A62" s="111"/>
      <c r="B62" s="168"/>
      <c r="C62" s="169"/>
      <c r="D62" s="169"/>
      <c r="E62" s="169"/>
      <c r="F62" s="169"/>
      <c r="G62" s="170"/>
      <c r="H62" s="170"/>
      <c r="I62" s="168"/>
      <c r="J62" s="170"/>
      <c r="K62" s="170"/>
      <c r="L62" s="170"/>
      <c r="M62" s="170"/>
      <c r="N62" s="170"/>
      <c r="O62" s="165"/>
      <c r="P62" s="165"/>
      <c r="Q62" s="165"/>
      <c r="R62" s="165"/>
      <c r="S62" s="165"/>
      <c r="T62" s="111"/>
      <c r="U62" s="111"/>
      <c r="V62" s="111"/>
    </row>
    <row r="63" spans="1:36" s="283" customFormat="1" ht="20.100000000000001" customHeight="1" x14ac:dyDescent="0.2">
      <c r="A63" s="178"/>
      <c r="B63" s="179"/>
      <c r="C63" s="315" t="s">
        <v>131</v>
      </c>
      <c r="D63" s="293"/>
      <c r="E63" s="293"/>
      <c r="F63" s="293"/>
      <c r="G63" s="316"/>
      <c r="H63" s="316"/>
      <c r="I63" s="315"/>
      <c r="J63" s="315" t="s">
        <v>131</v>
      </c>
      <c r="K63" s="316"/>
      <c r="L63" s="316"/>
      <c r="M63" s="178"/>
      <c r="N63" s="178"/>
      <c r="O63" s="178"/>
      <c r="P63" s="178"/>
      <c r="Q63" s="178"/>
      <c r="R63" s="178"/>
      <c r="S63" s="178"/>
      <c r="T63" s="178"/>
      <c r="U63" s="178"/>
      <c r="V63" s="178"/>
    </row>
    <row r="64" spans="1:36" s="284" customFormat="1" ht="20.100000000000001" customHeight="1" x14ac:dyDescent="0.2">
      <c r="A64" s="179"/>
      <c r="B64" s="179"/>
      <c r="C64" s="325"/>
      <c r="D64" s="318" t="s">
        <v>137</v>
      </c>
      <c r="E64" s="319">
        <v>6.4000000000000003E-3</v>
      </c>
      <c r="F64" s="325"/>
      <c r="G64" s="325"/>
      <c r="H64" s="325"/>
      <c r="I64" s="325"/>
      <c r="J64" s="325"/>
      <c r="K64" s="318" t="s">
        <v>137</v>
      </c>
      <c r="L64" s="319">
        <v>6.0000000000000001E-3</v>
      </c>
      <c r="M64" s="179"/>
      <c r="N64" s="179"/>
      <c r="O64" s="179"/>
      <c r="P64" s="179"/>
      <c r="Q64" s="179"/>
      <c r="R64" s="179"/>
      <c r="S64" s="179"/>
      <c r="T64" s="179"/>
      <c r="U64" s="179"/>
      <c r="V64" s="179"/>
    </row>
    <row r="65" spans="1:36" s="284" customFormat="1" ht="20.100000000000001" customHeight="1" x14ac:dyDescent="0.2">
      <c r="A65" s="179"/>
      <c r="B65" s="179"/>
      <c r="C65" s="325"/>
      <c r="D65" s="318" t="s">
        <v>132</v>
      </c>
      <c r="E65" s="319">
        <v>0.05</v>
      </c>
      <c r="F65" s="325"/>
      <c r="G65" s="325"/>
      <c r="H65" s="325"/>
      <c r="I65" s="325"/>
      <c r="J65" s="325"/>
      <c r="K65" s="318" t="s">
        <v>132</v>
      </c>
      <c r="L65" s="319">
        <v>6.6000000000000003E-2</v>
      </c>
      <c r="M65" s="179"/>
      <c r="N65" s="179"/>
      <c r="O65" s="179"/>
      <c r="P65" s="179"/>
      <c r="Q65" s="179"/>
      <c r="R65" s="179"/>
      <c r="S65" s="179"/>
      <c r="T65" s="179"/>
      <c r="U65" s="179"/>
      <c r="V65" s="179"/>
    </row>
    <row r="66" spans="1:36" ht="16.2" x14ac:dyDescent="0.3">
      <c r="A66" s="111"/>
      <c r="B66" s="168"/>
      <c r="C66" s="169"/>
      <c r="D66" s="169"/>
      <c r="E66" s="169"/>
      <c r="F66" s="170"/>
      <c r="G66" s="170"/>
      <c r="H66" s="170"/>
      <c r="I66" s="170"/>
      <c r="J66" s="170"/>
      <c r="K66" s="170"/>
      <c r="L66" s="170"/>
      <c r="M66" s="170"/>
      <c r="N66" s="170"/>
      <c r="O66" s="165"/>
      <c r="P66" s="165"/>
      <c r="Q66" s="165"/>
      <c r="R66" s="165"/>
      <c r="S66" s="165"/>
      <c r="T66" s="111"/>
      <c r="U66" s="111"/>
      <c r="V66" s="111"/>
      <c r="AC66" s="286"/>
      <c r="AD66" s="286"/>
      <c r="AE66" s="286"/>
      <c r="AF66" s="286"/>
      <c r="AG66" s="286"/>
      <c r="AH66" s="286"/>
      <c r="AI66" s="286"/>
      <c r="AJ66" s="286"/>
    </row>
    <row r="67" spans="1:36" s="286" customFormat="1" ht="15.6" x14ac:dyDescent="0.3">
      <c r="A67" s="170"/>
      <c r="B67" s="170"/>
      <c r="C67" s="169" t="s">
        <v>133</v>
      </c>
      <c r="D67" s="169"/>
      <c r="E67" s="169"/>
      <c r="F67" s="170"/>
      <c r="G67" s="170"/>
      <c r="H67" s="170"/>
      <c r="I67" s="170"/>
      <c r="J67" s="169" t="s">
        <v>133</v>
      </c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</row>
    <row r="68" spans="1:36" s="285" customFormat="1" ht="13.2" x14ac:dyDescent="0.25">
      <c r="A68" s="168"/>
      <c r="B68" s="168"/>
      <c r="C68" s="180" t="s">
        <v>134</v>
      </c>
      <c r="D68" s="180"/>
      <c r="E68" s="288"/>
      <c r="F68" s="168"/>
      <c r="G68" s="168"/>
      <c r="H68" s="168"/>
      <c r="I68" s="168"/>
      <c r="J68" s="180" t="s">
        <v>135</v>
      </c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</row>
    <row r="69" spans="1:36" ht="13.2" x14ac:dyDescent="0.25">
      <c r="A69" s="111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11"/>
      <c r="P69" s="111"/>
      <c r="Q69" s="111"/>
      <c r="R69" s="111"/>
      <c r="S69" s="111"/>
      <c r="T69" s="111"/>
      <c r="U69" s="111"/>
      <c r="V69" s="111"/>
    </row>
    <row r="70" spans="1:36" ht="13.2" x14ac:dyDescent="0.25">
      <c r="A70" s="111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11"/>
      <c r="P70" s="111"/>
      <c r="Q70" s="111"/>
      <c r="R70" s="111"/>
      <c r="S70" s="111"/>
      <c r="T70" s="111"/>
      <c r="U70" s="111"/>
      <c r="V70" s="111"/>
    </row>
    <row r="71" spans="1:36" ht="17.399999999999999" x14ac:dyDescent="0.3">
      <c r="A71" s="111"/>
      <c r="B71" s="168"/>
      <c r="C71" s="181" t="s">
        <v>4</v>
      </c>
      <c r="D71" s="169"/>
      <c r="E71" s="169"/>
      <c r="F71" s="168"/>
      <c r="G71" s="168"/>
      <c r="H71" s="168"/>
      <c r="I71" s="168"/>
      <c r="J71" s="168"/>
      <c r="K71" s="168"/>
      <c r="L71" s="168"/>
      <c r="M71" s="168"/>
      <c r="N71" s="168"/>
      <c r="O71" s="111"/>
      <c r="P71" s="111"/>
      <c r="Q71" s="111"/>
      <c r="R71" s="111"/>
      <c r="S71" s="111"/>
      <c r="T71" s="111"/>
      <c r="U71" s="111"/>
      <c r="V71" s="111"/>
    </row>
    <row r="72" spans="1:36" ht="15.6" thickBot="1" x14ac:dyDescent="0.3">
      <c r="A72" s="111"/>
      <c r="B72" s="168"/>
      <c r="C72" s="170"/>
      <c r="D72" s="170"/>
      <c r="E72" s="170"/>
      <c r="F72" s="168"/>
      <c r="G72" s="168"/>
      <c r="H72" s="168"/>
      <c r="I72" s="168"/>
      <c r="J72" s="168"/>
      <c r="K72" s="168"/>
      <c r="L72" s="168"/>
      <c r="M72" s="168"/>
      <c r="N72" s="168"/>
      <c r="O72" s="111"/>
      <c r="P72" s="111"/>
      <c r="Q72" s="111"/>
      <c r="R72" s="111"/>
      <c r="S72" s="111"/>
      <c r="T72" s="111"/>
      <c r="U72" s="111"/>
      <c r="V72" s="111"/>
    </row>
    <row r="73" spans="1:36" ht="25.5" customHeight="1" thickBot="1" x14ac:dyDescent="0.3">
      <c r="A73" s="111"/>
      <c r="B73" s="168"/>
      <c r="C73" s="182" t="s">
        <v>5</v>
      </c>
      <c r="D73" s="183"/>
      <c r="E73" s="185" t="s">
        <v>6</v>
      </c>
      <c r="F73" s="168"/>
      <c r="G73" s="168"/>
      <c r="H73" s="168"/>
      <c r="I73" s="168"/>
      <c r="J73" s="168"/>
      <c r="K73" s="168"/>
      <c r="L73" s="168"/>
      <c r="M73" s="168"/>
      <c r="N73" s="168"/>
      <c r="O73" s="111"/>
      <c r="P73" s="111"/>
      <c r="Q73" s="111"/>
      <c r="R73" s="111"/>
      <c r="S73" s="111"/>
      <c r="T73" s="111"/>
      <c r="U73" s="111"/>
      <c r="V73" s="111"/>
    </row>
    <row r="74" spans="1:36" s="43" customFormat="1" ht="16.5" customHeight="1" x14ac:dyDescent="0.2">
      <c r="A74" s="106"/>
      <c r="B74" s="177"/>
      <c r="C74" s="186" t="s">
        <v>168</v>
      </c>
      <c r="D74" s="187"/>
      <c r="E74" s="188" t="s">
        <v>169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06"/>
      <c r="P74" s="106"/>
      <c r="Q74" s="106"/>
      <c r="R74" s="106"/>
      <c r="S74" s="106"/>
      <c r="T74" s="106"/>
      <c r="U74" s="106"/>
      <c r="V74" s="106"/>
      <c r="AC74" s="303"/>
      <c r="AD74" s="303"/>
      <c r="AE74" s="303"/>
      <c r="AF74" s="303"/>
      <c r="AG74" s="303"/>
      <c r="AH74" s="303"/>
      <c r="AI74" s="303"/>
      <c r="AJ74" s="303"/>
    </row>
    <row r="75" spans="1:36" s="43" customFormat="1" ht="16.5" customHeight="1" x14ac:dyDescent="0.2">
      <c r="A75" s="106"/>
      <c r="B75" s="177"/>
      <c r="C75" s="189" t="s">
        <v>174</v>
      </c>
      <c r="D75" s="190"/>
      <c r="E75" s="191" t="s">
        <v>167</v>
      </c>
      <c r="F75" s="177"/>
      <c r="G75" s="177"/>
      <c r="H75" s="177"/>
      <c r="I75" s="177"/>
      <c r="J75" s="177"/>
      <c r="K75" s="177"/>
      <c r="L75" s="177"/>
      <c r="M75" s="177"/>
      <c r="N75" s="177"/>
      <c r="O75" s="106"/>
      <c r="P75" s="106"/>
      <c r="Q75" s="106"/>
      <c r="R75" s="106"/>
      <c r="S75" s="106"/>
      <c r="T75" s="106"/>
      <c r="U75" s="106"/>
      <c r="V75" s="106"/>
      <c r="AC75" s="303"/>
      <c r="AD75" s="303"/>
      <c r="AE75" s="303"/>
      <c r="AF75" s="303"/>
      <c r="AG75" s="303"/>
      <c r="AH75" s="303"/>
      <c r="AI75" s="303"/>
      <c r="AJ75" s="303"/>
    </row>
    <row r="76" spans="1:36" s="43" customFormat="1" ht="16.5" customHeight="1" x14ac:dyDescent="0.2">
      <c r="A76" s="106"/>
      <c r="B76" s="177"/>
      <c r="C76" s="189" t="s">
        <v>172</v>
      </c>
      <c r="D76" s="190"/>
      <c r="E76" s="191" t="s">
        <v>14</v>
      </c>
      <c r="F76" s="177"/>
      <c r="G76" s="177"/>
      <c r="H76" s="177"/>
      <c r="I76" s="177"/>
      <c r="J76" s="177"/>
      <c r="K76" s="177"/>
      <c r="L76" s="177"/>
      <c r="M76" s="177"/>
      <c r="N76" s="177"/>
      <c r="O76" s="106"/>
      <c r="P76" s="106"/>
      <c r="Q76" s="106"/>
      <c r="R76" s="106"/>
      <c r="S76" s="106"/>
      <c r="T76" s="106"/>
      <c r="U76" s="106"/>
      <c r="V76" s="106"/>
      <c r="AC76" s="303"/>
      <c r="AD76" s="303"/>
      <c r="AE76" s="303"/>
      <c r="AF76" s="303"/>
      <c r="AG76" s="303"/>
      <c r="AH76" s="303"/>
      <c r="AI76" s="303"/>
      <c r="AJ76" s="303"/>
    </row>
    <row r="77" spans="1:36" s="43" customFormat="1" ht="16.5" customHeight="1" x14ac:dyDescent="0.2">
      <c r="A77" s="106"/>
      <c r="B77" s="177"/>
      <c r="C77" s="189" t="s">
        <v>171</v>
      </c>
      <c r="D77" s="190"/>
      <c r="E77" s="191" t="s">
        <v>170</v>
      </c>
      <c r="F77" s="177"/>
      <c r="G77" s="177"/>
      <c r="H77" s="177"/>
      <c r="I77" s="177"/>
      <c r="J77" s="177"/>
      <c r="K77" s="177"/>
      <c r="L77" s="177"/>
      <c r="M77" s="177"/>
      <c r="N77" s="177"/>
      <c r="O77" s="106"/>
      <c r="P77" s="106"/>
      <c r="Q77" s="106"/>
      <c r="R77" s="106"/>
      <c r="S77" s="106"/>
      <c r="T77" s="106"/>
      <c r="U77" s="106"/>
      <c r="V77" s="106"/>
      <c r="AC77" s="303"/>
      <c r="AD77" s="303"/>
      <c r="AE77" s="303"/>
      <c r="AF77" s="303"/>
      <c r="AG77" s="303"/>
      <c r="AH77" s="303"/>
      <c r="AI77" s="303"/>
      <c r="AJ77" s="303"/>
    </row>
    <row r="78" spans="1:36" s="43" customFormat="1" ht="16.5" customHeight="1" x14ac:dyDescent="0.2">
      <c r="A78" s="106"/>
      <c r="B78" s="177"/>
      <c r="C78" s="189" t="s">
        <v>175</v>
      </c>
      <c r="D78" s="190"/>
      <c r="E78" s="191" t="s">
        <v>13</v>
      </c>
      <c r="F78" s="177"/>
      <c r="G78" s="177"/>
      <c r="H78" s="177"/>
      <c r="I78" s="177"/>
      <c r="J78" s="177"/>
      <c r="K78" s="177"/>
      <c r="L78" s="177"/>
      <c r="M78" s="177"/>
      <c r="N78" s="177"/>
      <c r="O78" s="106"/>
      <c r="P78" s="106"/>
      <c r="Q78" s="106"/>
      <c r="R78" s="106"/>
      <c r="S78" s="106"/>
      <c r="T78" s="106"/>
      <c r="U78" s="106"/>
      <c r="V78" s="106"/>
      <c r="AC78" s="303"/>
      <c r="AD78" s="303"/>
      <c r="AE78" s="303"/>
      <c r="AF78" s="303"/>
      <c r="AG78" s="303"/>
      <c r="AH78" s="303"/>
      <c r="AI78" s="303"/>
      <c r="AJ78" s="303"/>
    </row>
    <row r="79" spans="1:36" s="43" customFormat="1" ht="16.5" customHeight="1" x14ac:dyDescent="0.2">
      <c r="A79" s="106"/>
      <c r="B79" s="177"/>
      <c r="C79" s="189" t="s">
        <v>173</v>
      </c>
      <c r="D79" s="190"/>
      <c r="E79" s="191" t="s">
        <v>50</v>
      </c>
      <c r="F79" s="177"/>
      <c r="G79" s="177"/>
      <c r="H79" s="177"/>
      <c r="I79" s="177"/>
      <c r="J79" s="177"/>
      <c r="K79" s="177"/>
      <c r="L79" s="177"/>
      <c r="M79" s="177"/>
      <c r="N79" s="177"/>
      <c r="O79" s="106"/>
      <c r="P79" s="106"/>
      <c r="Q79" s="106"/>
      <c r="R79" s="106"/>
      <c r="S79" s="106"/>
      <c r="T79" s="106"/>
      <c r="U79" s="106"/>
      <c r="V79" s="106"/>
      <c r="AC79" s="303"/>
      <c r="AD79" s="303"/>
      <c r="AE79" s="303"/>
      <c r="AF79" s="303"/>
      <c r="AG79" s="303"/>
      <c r="AH79" s="303"/>
      <c r="AI79" s="303"/>
      <c r="AJ79" s="303"/>
    </row>
    <row r="80" spans="1:36" s="43" customFormat="1" ht="16.5" customHeight="1" x14ac:dyDescent="0.2">
      <c r="A80" s="106"/>
      <c r="B80" s="177"/>
      <c r="C80" s="189" t="s">
        <v>9</v>
      </c>
      <c r="D80" s="190"/>
      <c r="E80" s="191" t="s">
        <v>12</v>
      </c>
      <c r="F80" s="177"/>
      <c r="G80" s="177"/>
      <c r="H80" s="177"/>
      <c r="I80" s="177"/>
      <c r="J80" s="177"/>
      <c r="K80" s="177"/>
      <c r="L80" s="177"/>
      <c r="M80" s="177"/>
      <c r="N80" s="177"/>
      <c r="O80" s="106"/>
      <c r="P80" s="106"/>
      <c r="Q80" s="106"/>
      <c r="R80" s="106"/>
      <c r="S80" s="106"/>
      <c r="T80" s="106"/>
      <c r="U80" s="106"/>
      <c r="V80" s="106"/>
      <c r="AC80" s="303"/>
      <c r="AD80" s="303"/>
      <c r="AE80" s="303"/>
      <c r="AF80" s="303"/>
      <c r="AG80" s="303"/>
      <c r="AH80" s="303"/>
      <c r="AI80" s="303"/>
      <c r="AJ80" s="303"/>
    </row>
    <row r="81" spans="1:36" s="43" customFormat="1" ht="16.5" customHeight="1" x14ac:dyDescent="0.2">
      <c r="A81" s="106"/>
      <c r="B81" s="177"/>
      <c r="C81" s="189" t="s">
        <v>7</v>
      </c>
      <c r="D81" s="190"/>
      <c r="E81" s="191" t="s">
        <v>10</v>
      </c>
      <c r="F81" s="177"/>
      <c r="G81" s="177"/>
      <c r="H81" s="177"/>
      <c r="I81" s="177"/>
      <c r="J81" s="177"/>
      <c r="K81" s="177"/>
      <c r="L81" s="177"/>
      <c r="M81" s="177"/>
      <c r="N81" s="177"/>
      <c r="O81" s="106"/>
      <c r="P81" s="106"/>
      <c r="Q81" s="106"/>
      <c r="R81" s="106"/>
      <c r="S81" s="106"/>
      <c r="T81" s="106"/>
      <c r="U81" s="106"/>
      <c r="V81" s="106"/>
      <c r="AC81" s="303"/>
      <c r="AD81" s="303"/>
      <c r="AE81" s="303"/>
      <c r="AF81" s="303"/>
      <c r="AG81" s="303"/>
      <c r="AH81" s="303"/>
      <c r="AI81" s="303"/>
      <c r="AJ81" s="303"/>
    </row>
    <row r="82" spans="1:36" s="43" customFormat="1" ht="16.5" customHeight="1" thickBot="1" x14ac:dyDescent="0.25">
      <c r="A82" s="106"/>
      <c r="B82" s="177"/>
      <c r="C82" s="192" t="s">
        <v>8</v>
      </c>
      <c r="D82" s="193"/>
      <c r="E82" s="194" t="s">
        <v>11</v>
      </c>
      <c r="F82" s="177"/>
      <c r="G82" s="177"/>
      <c r="H82" s="177"/>
      <c r="I82" s="177"/>
      <c r="J82" s="177"/>
      <c r="K82" s="177"/>
      <c r="L82" s="177"/>
      <c r="M82" s="177"/>
      <c r="N82" s="177"/>
      <c r="O82" s="106"/>
      <c r="P82" s="106"/>
      <c r="Q82" s="106"/>
      <c r="R82" s="106"/>
      <c r="S82" s="106"/>
      <c r="T82" s="106"/>
      <c r="U82" s="106"/>
      <c r="V82" s="106"/>
      <c r="AC82" s="303"/>
      <c r="AD82" s="303"/>
      <c r="AE82" s="303"/>
      <c r="AF82" s="303"/>
      <c r="AG82" s="303"/>
      <c r="AH82" s="303"/>
      <c r="AI82" s="303"/>
      <c r="AJ82" s="303"/>
    </row>
    <row r="83" spans="1:36" x14ac:dyDescent="0.2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</row>
    <row r="84" spans="1:36" x14ac:dyDescent="0.2">
      <c r="A84" s="105" t="s">
        <v>140</v>
      </c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9" t="s">
        <v>141</v>
      </c>
      <c r="O84" s="369"/>
      <c r="P84" s="369"/>
      <c r="Q84" s="369"/>
      <c r="R84" s="369"/>
      <c r="S84" s="369"/>
      <c r="T84" s="369"/>
      <c r="U84" s="369"/>
      <c r="V84" s="111"/>
    </row>
    <row r="85" spans="1:36" x14ac:dyDescent="0.2">
      <c r="A85" s="10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9"/>
      <c r="O85" s="369"/>
      <c r="P85" s="369"/>
      <c r="Q85" s="369"/>
      <c r="R85" s="369"/>
      <c r="S85" s="369"/>
      <c r="T85" s="369"/>
      <c r="U85" s="369"/>
      <c r="V85" s="111"/>
    </row>
    <row r="86" spans="1:36" x14ac:dyDescent="0.2">
      <c r="A86" s="106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9"/>
      <c r="O86" s="369"/>
      <c r="P86" s="369"/>
      <c r="Q86" s="369"/>
      <c r="R86" s="369"/>
      <c r="S86" s="369"/>
      <c r="T86" s="369"/>
      <c r="U86" s="369"/>
      <c r="V86" s="111"/>
    </row>
    <row r="87" spans="1:36" x14ac:dyDescent="0.2">
      <c r="A87" s="106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9"/>
      <c r="O87" s="369"/>
      <c r="P87" s="369"/>
      <c r="Q87" s="369"/>
      <c r="R87" s="369"/>
      <c r="S87" s="369"/>
      <c r="T87" s="369"/>
      <c r="U87" s="369"/>
      <c r="V87" s="111"/>
    </row>
    <row r="88" spans="1:36" x14ac:dyDescent="0.2">
      <c r="A88" s="106"/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9"/>
      <c r="O88" s="369"/>
      <c r="P88" s="369"/>
      <c r="Q88" s="369"/>
      <c r="R88" s="369"/>
      <c r="S88" s="369"/>
      <c r="T88" s="369"/>
      <c r="U88" s="369"/>
      <c r="V88" s="111"/>
    </row>
    <row r="89" spans="1:36" x14ac:dyDescent="0.2">
      <c r="A89" s="106"/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9"/>
      <c r="O89" s="369"/>
      <c r="P89" s="369"/>
      <c r="Q89" s="369"/>
      <c r="R89" s="369"/>
      <c r="S89" s="369"/>
      <c r="T89" s="369"/>
      <c r="U89" s="369"/>
      <c r="V89" s="111"/>
    </row>
    <row r="90" spans="1:36" x14ac:dyDescent="0.2">
      <c r="A90" s="106"/>
      <c r="B90" s="368"/>
      <c r="C90" s="368"/>
      <c r="D90" s="368"/>
      <c r="E90" s="368"/>
      <c r="F90" s="368"/>
      <c r="G90" s="368"/>
      <c r="H90" s="368"/>
      <c r="I90" s="368"/>
      <c r="J90" s="368"/>
      <c r="K90" s="368"/>
      <c r="L90" s="368"/>
      <c r="M90" s="368"/>
      <c r="N90" s="369"/>
      <c r="O90" s="369"/>
      <c r="P90" s="369"/>
      <c r="Q90" s="369"/>
      <c r="R90" s="369"/>
      <c r="S90" s="369"/>
      <c r="T90" s="369"/>
      <c r="U90" s="369"/>
      <c r="V90" s="111"/>
    </row>
  </sheetData>
  <sortState xmlns:xlrd2="http://schemas.microsoft.com/office/spreadsheetml/2017/richdata2" ref="C74:E82">
    <sortCondition ref="C74:C82"/>
  </sortState>
  <mergeCells count="28">
    <mergeCell ref="M22:N22"/>
    <mergeCell ref="L24:M24"/>
    <mergeCell ref="B84:M90"/>
    <mergeCell ref="N84:U90"/>
    <mergeCell ref="J16:L16"/>
    <mergeCell ref="J18:L18"/>
    <mergeCell ref="F20:H20"/>
    <mergeCell ref="F26:H26"/>
    <mergeCell ref="C29:E29"/>
    <mergeCell ref="L26:M26"/>
    <mergeCell ref="M20:N20"/>
    <mergeCell ref="N18:O18"/>
    <mergeCell ref="F8:H8"/>
    <mergeCell ref="F10:H10"/>
    <mergeCell ref="B2:U2"/>
    <mergeCell ref="B3:U3"/>
    <mergeCell ref="F18:H18"/>
    <mergeCell ref="G12:H12"/>
    <mergeCell ref="G14:H14"/>
    <mergeCell ref="G16:H16"/>
    <mergeCell ref="C12:E12"/>
    <mergeCell ref="Q8:R8"/>
    <mergeCell ref="Q10:R10"/>
    <mergeCell ref="N8:O8"/>
    <mergeCell ref="N10:O10"/>
    <mergeCell ref="N12:O12"/>
    <mergeCell ref="N14:O14"/>
    <mergeCell ref="N16:O16"/>
  </mergeCells>
  <phoneticPr fontId="4" type="noConversion"/>
  <dataValidations count="2">
    <dataValidation type="list" allowBlank="1" showInputMessage="1" showErrorMessage="1" sqref="C12:E12" xr:uid="{81589874-490C-4382-AD30-75B527168140}">
      <formula1>$AD$6:$AD$8</formula1>
    </dataValidation>
    <dataValidation type="list" allowBlank="1" showInputMessage="1" showErrorMessage="1" sqref="S8 S10" xr:uid="{D02FE4FA-8634-4793-8F9B-53F775E29A24}">
      <formula1>$E$74:$E$82</formula1>
    </dataValidation>
  </dataValidations>
  <hyperlinks>
    <hyperlink ref="C68" r:id="rId1" xr:uid="{6373955D-9D97-44A4-A0C3-3E584D37B2AF}"/>
    <hyperlink ref="J68" r:id="rId2" xr:uid="{2F443149-E928-49C6-B8A4-CCDB24D4A9DC}"/>
  </hyperlinks>
  <printOptions horizontalCentered="1" verticalCentered="1"/>
  <pageMargins left="0.25" right="0.25" top="0.75" bottom="0.5" header="0.5" footer="0.5"/>
  <pageSetup paperSize="9" orientation="portrait" horizontalDpi="4294967292" verticalDpi="4294967292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4E1C-2FF9-403E-A9E9-197013452EBB}">
  <dimension ref="A1:AK95"/>
  <sheetViews>
    <sheetView topLeftCell="A8" zoomScaleNormal="100" zoomScaleSheetLayoutView="394" workbookViewId="0">
      <selection activeCell="L24" sqref="L24:M24"/>
    </sheetView>
  </sheetViews>
  <sheetFormatPr defaultColWidth="8.6328125" defaultRowHeight="12.6" x14ac:dyDescent="0.2"/>
  <cols>
    <col min="1" max="1" width="1.08984375" style="295" customWidth="1"/>
    <col min="2" max="2" width="11.453125" style="295" customWidth="1"/>
    <col min="3" max="8" width="12.6328125" style="295" customWidth="1"/>
    <col min="9" max="9" width="15.6328125" style="295" customWidth="1"/>
    <col min="10" max="15" width="12.6328125" style="295" customWidth="1"/>
    <col min="16" max="16" width="3.6328125" style="295" customWidth="1"/>
    <col min="17" max="17" width="9.6328125" style="295" customWidth="1"/>
    <col min="18" max="19" width="8.6328125" style="295" customWidth="1"/>
    <col min="20" max="20" width="9.08984375" style="295" customWidth="1"/>
    <col min="21" max="21" width="3.08984375" style="295" customWidth="1"/>
    <col min="22" max="22" width="1.90625" style="295" customWidth="1"/>
    <col min="23" max="29" width="8.6328125" style="295"/>
    <col min="30" max="30" width="27.453125" style="295" hidden="1" customWidth="1"/>
    <col min="31" max="31" width="10.7265625" style="295" hidden="1" customWidth="1"/>
    <col min="32" max="32" width="29.7265625" style="295" hidden="1" customWidth="1"/>
    <col min="33" max="33" width="30.90625" style="295" hidden="1" customWidth="1"/>
    <col min="34" max="34" width="29" style="295" hidden="1" customWidth="1"/>
    <col min="35" max="35" width="27.7265625" style="295" hidden="1" customWidth="1"/>
    <col min="36" max="36" width="31.90625" style="295" hidden="1" customWidth="1"/>
    <col min="37" max="16384" width="8.6328125" style="295"/>
  </cols>
  <sheetData>
    <row r="1" spans="1:36" ht="7.5" customHeight="1" thickBot="1" x14ac:dyDescent="0.4">
      <c r="A1" s="166"/>
      <c r="B1" s="166"/>
      <c r="C1" s="112"/>
      <c r="D1" s="112"/>
      <c r="E1" s="112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66"/>
      <c r="U1" s="166"/>
      <c r="V1" s="166"/>
    </row>
    <row r="2" spans="1:36" ht="41.25" customHeight="1" x14ac:dyDescent="0.4">
      <c r="A2" s="166"/>
      <c r="B2" s="342" t="str">
        <f>"Intrinsic Value Calculator ("&amp;VLOOKUP(C12,AD6:AJ8,6,FALSE)&amp;" 20 years)"</f>
        <v>Intrinsic Value Calculator (Discounted Free Cash Flow Method 20 years)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4"/>
      <c r="V2" s="166"/>
    </row>
    <row r="3" spans="1:36" ht="41.25" customHeight="1" x14ac:dyDescent="0.2">
      <c r="A3" s="166"/>
      <c r="B3" s="345" t="s">
        <v>26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7"/>
      <c r="V3" s="166"/>
    </row>
    <row r="4" spans="1:36" ht="5.25" customHeight="1" thickBot="1" x14ac:dyDescent="0.25">
      <c r="A4" s="166"/>
      <c r="B4" s="107"/>
      <c r="C4" s="108"/>
      <c r="D4" s="108"/>
      <c r="E4" s="108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10"/>
      <c r="V4" s="166"/>
    </row>
    <row r="5" spans="1:36" ht="11.25" customHeight="1" x14ac:dyDescent="0.2">
      <c r="A5" s="166"/>
      <c r="B5" s="114"/>
      <c r="C5" s="115"/>
      <c r="D5" s="115"/>
      <c r="E5" s="115"/>
      <c r="F5" s="116"/>
      <c r="G5" s="116"/>
      <c r="H5" s="116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8"/>
      <c r="U5" s="119"/>
      <c r="V5" s="166"/>
    </row>
    <row r="6" spans="1:36" ht="30.9" customHeight="1" x14ac:dyDescent="0.4">
      <c r="A6" s="166"/>
      <c r="B6" s="114"/>
      <c r="C6" s="164" t="s">
        <v>0</v>
      </c>
      <c r="D6" s="120"/>
      <c r="E6" s="120"/>
      <c r="F6" s="121"/>
      <c r="G6" s="121"/>
      <c r="H6" s="122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15"/>
      <c r="U6" s="119"/>
      <c r="V6" s="166"/>
      <c r="AD6" s="295" t="s">
        <v>138</v>
      </c>
      <c r="AE6" s="295" t="s">
        <v>144</v>
      </c>
      <c r="AF6" s="295" t="s">
        <v>155</v>
      </c>
      <c r="AG6" s="295" t="s">
        <v>158</v>
      </c>
      <c r="AH6" s="295" t="s">
        <v>145</v>
      </c>
      <c r="AI6" s="295" t="s">
        <v>146</v>
      </c>
      <c r="AJ6" s="295" t="s">
        <v>162</v>
      </c>
    </row>
    <row r="7" spans="1:36" ht="8.1" customHeight="1" x14ac:dyDescent="0.3">
      <c r="A7" s="166"/>
      <c r="B7" s="114"/>
      <c r="C7" s="124"/>
      <c r="D7" s="124"/>
      <c r="E7" s="124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15"/>
      <c r="U7" s="119"/>
      <c r="V7" s="166"/>
      <c r="AD7" s="295" t="s">
        <v>139</v>
      </c>
      <c r="AE7" s="295" t="s">
        <v>147</v>
      </c>
      <c r="AF7" s="295" t="s">
        <v>156</v>
      </c>
      <c r="AG7" s="295" t="s">
        <v>159</v>
      </c>
      <c r="AH7" s="295" t="s">
        <v>148</v>
      </c>
      <c r="AI7" s="295" t="s">
        <v>149</v>
      </c>
      <c r="AJ7" s="295" t="s">
        <v>161</v>
      </c>
    </row>
    <row r="8" spans="1:36" ht="24.9" customHeight="1" x14ac:dyDescent="0.2">
      <c r="A8" s="166"/>
      <c r="B8" s="114"/>
      <c r="C8" s="143" t="s">
        <v>38</v>
      </c>
      <c r="D8" s="144"/>
      <c r="E8" s="145"/>
      <c r="F8" s="336" t="s">
        <v>187</v>
      </c>
      <c r="G8" s="337"/>
      <c r="H8" s="338"/>
      <c r="I8" s="125"/>
      <c r="J8" s="149" t="str">
        <f>"PV of 20 yr "&amp;VLOOKUP(C12,AD6:AJ8,2,FALSE)</f>
        <v>PV of 20 yr Free Cash Flow</v>
      </c>
      <c r="K8" s="137"/>
      <c r="L8" s="137"/>
      <c r="M8" s="328" t="str">
        <f>$S$8</f>
        <v>USD$</v>
      </c>
      <c r="N8" s="358">
        <f>SUM(F31:P31)+SUM(F36:O36)</f>
        <v>5406213.7876032088</v>
      </c>
      <c r="O8" s="359"/>
      <c r="P8" s="123"/>
      <c r="Q8" s="356" t="s">
        <v>160</v>
      </c>
      <c r="R8" s="357"/>
      <c r="S8" s="306" t="s">
        <v>11</v>
      </c>
      <c r="T8" s="115"/>
      <c r="U8" s="119"/>
      <c r="V8" s="166"/>
      <c r="AD8" s="295" t="s">
        <v>150</v>
      </c>
      <c r="AE8" s="295" t="s">
        <v>151</v>
      </c>
      <c r="AF8" s="295" t="s">
        <v>157</v>
      </c>
      <c r="AG8" s="295" t="s">
        <v>152</v>
      </c>
      <c r="AH8" s="295" t="s">
        <v>153</v>
      </c>
      <c r="AI8" s="295" t="s">
        <v>154</v>
      </c>
      <c r="AJ8" s="295" t="s">
        <v>163</v>
      </c>
    </row>
    <row r="9" spans="1:36" ht="3.9" customHeight="1" x14ac:dyDescent="0.2">
      <c r="A9" s="166"/>
      <c r="B9" s="114"/>
      <c r="C9" s="268"/>
      <c r="D9" s="268"/>
      <c r="E9" s="268"/>
      <c r="F9" s="308"/>
      <c r="G9" s="308"/>
      <c r="H9" s="305"/>
      <c r="I9" s="123"/>
      <c r="J9" s="147"/>
      <c r="K9" s="123"/>
      <c r="L9" s="123"/>
      <c r="M9" s="320"/>
      <c r="N9" s="321"/>
      <c r="O9" s="321"/>
      <c r="P9" s="123"/>
      <c r="Q9" s="305"/>
      <c r="R9" s="305"/>
      <c r="S9" s="305"/>
      <c r="T9" s="115"/>
      <c r="U9" s="119"/>
      <c r="V9" s="166"/>
    </row>
    <row r="10" spans="1:36" ht="24.9" customHeight="1" x14ac:dyDescent="0.2">
      <c r="A10" s="166"/>
      <c r="B10" s="114"/>
      <c r="C10" s="143" t="s">
        <v>39</v>
      </c>
      <c r="D10" s="144"/>
      <c r="E10" s="144"/>
      <c r="F10" s="339" t="s">
        <v>188</v>
      </c>
      <c r="G10" s="340"/>
      <c r="H10" s="341"/>
      <c r="I10" s="123"/>
      <c r="J10" s="143" t="s">
        <v>142</v>
      </c>
      <c r="K10" s="137"/>
      <c r="L10" s="137"/>
      <c r="M10" s="328" t="str">
        <f>$S$8</f>
        <v>USD$</v>
      </c>
      <c r="N10" s="360">
        <f>IF(F26&lt;&gt;0,N8/F26,0)</f>
        <v>568.24370527367421</v>
      </c>
      <c r="O10" s="361"/>
      <c r="P10" s="123"/>
      <c r="Q10" s="356" t="s">
        <v>164</v>
      </c>
      <c r="R10" s="357"/>
      <c r="S10" s="306" t="s">
        <v>11</v>
      </c>
      <c r="T10" s="115"/>
      <c r="U10" s="119"/>
      <c r="V10" s="166"/>
    </row>
    <row r="11" spans="1:36" ht="3.9" customHeight="1" x14ac:dyDescent="0.25">
      <c r="A11" s="166"/>
      <c r="B11" s="114"/>
      <c r="C11" s="147"/>
      <c r="D11" s="147"/>
      <c r="E11" s="147"/>
      <c r="F11" s="130"/>
      <c r="G11" s="130"/>
      <c r="H11" s="129"/>
      <c r="I11" s="115"/>
      <c r="J11" s="150"/>
      <c r="K11" s="115"/>
      <c r="L11" s="115"/>
      <c r="M11" s="320"/>
      <c r="N11" s="322"/>
      <c r="O11" s="322"/>
      <c r="P11" s="115"/>
      <c r="Q11" s="129"/>
      <c r="R11" s="129"/>
      <c r="S11" s="129"/>
      <c r="T11" s="115"/>
      <c r="U11" s="119"/>
      <c r="V11" s="166"/>
    </row>
    <row r="12" spans="1:36" ht="24.9" customHeight="1" x14ac:dyDescent="0.2">
      <c r="A12" s="166"/>
      <c r="B12" s="128"/>
      <c r="C12" s="353" t="s">
        <v>150</v>
      </c>
      <c r="D12" s="354"/>
      <c r="E12" s="355"/>
      <c r="F12" s="309" t="str">
        <f>S8</f>
        <v>USD$</v>
      </c>
      <c r="G12" s="351">
        <v>195857</v>
      </c>
      <c r="H12" s="352"/>
      <c r="I12" s="115"/>
      <c r="J12" s="143" t="s">
        <v>1</v>
      </c>
      <c r="K12" s="137"/>
      <c r="L12" s="137"/>
      <c r="M12" s="328" t="str">
        <f>$S$8</f>
        <v>USD$</v>
      </c>
      <c r="N12" s="360">
        <f>IF(F26&lt;&gt;0,G14/F26,0)</f>
        <v>27.278928725338716</v>
      </c>
      <c r="O12" s="361"/>
      <c r="P12" s="115"/>
      <c r="Q12" s="115"/>
      <c r="R12" s="115"/>
      <c r="S12" s="115"/>
      <c r="T12" s="115"/>
      <c r="U12" s="119"/>
      <c r="V12" s="166"/>
    </row>
    <row r="13" spans="1:36" ht="3.9" customHeight="1" x14ac:dyDescent="0.25">
      <c r="A13" s="166"/>
      <c r="B13" s="114"/>
      <c r="C13" s="269"/>
      <c r="D13" s="269"/>
      <c r="E13" s="269"/>
      <c r="F13" s="130"/>
      <c r="G13" s="326"/>
      <c r="H13" s="327"/>
      <c r="I13" s="115"/>
      <c r="J13" s="150"/>
      <c r="K13" s="127"/>
      <c r="L13" s="127"/>
      <c r="M13" s="320"/>
      <c r="N13" s="322"/>
      <c r="O13" s="322"/>
      <c r="P13" s="115"/>
      <c r="Q13" s="115"/>
      <c r="R13" s="115"/>
      <c r="S13" s="115"/>
      <c r="T13" s="115"/>
      <c r="U13" s="119"/>
      <c r="V13" s="166"/>
    </row>
    <row r="14" spans="1:36" ht="24.9" customHeight="1" x14ac:dyDescent="0.2">
      <c r="A14" s="166"/>
      <c r="B14" s="128"/>
      <c r="C14" s="143" t="s">
        <v>48</v>
      </c>
      <c r="D14" s="144"/>
      <c r="E14" s="145"/>
      <c r="F14" s="309" t="str">
        <f>S8</f>
        <v>USD$</v>
      </c>
      <c r="G14" s="351">
        <v>259529</v>
      </c>
      <c r="H14" s="352"/>
      <c r="I14" s="115"/>
      <c r="J14" s="143" t="s">
        <v>2</v>
      </c>
      <c r="K14" s="137"/>
      <c r="L14" s="137"/>
      <c r="M14" s="328" t="str">
        <f>$S$8</f>
        <v>USD$</v>
      </c>
      <c r="N14" s="360">
        <f>IF(F26&lt;&gt;0,G16/F26,0)</f>
        <v>24.629016491659574</v>
      </c>
      <c r="O14" s="361"/>
      <c r="P14" s="115"/>
      <c r="Q14" s="115"/>
      <c r="R14" s="115"/>
      <c r="S14" s="115"/>
      <c r="T14" s="115"/>
      <c r="U14" s="119"/>
      <c r="V14" s="166"/>
    </row>
    <row r="15" spans="1:36" ht="3.9" customHeight="1" x14ac:dyDescent="0.25">
      <c r="A15" s="166"/>
      <c r="B15" s="114"/>
      <c r="C15" s="269"/>
      <c r="D15" s="269"/>
      <c r="E15" s="269"/>
      <c r="F15" s="130"/>
      <c r="G15" s="326"/>
      <c r="H15" s="327"/>
      <c r="I15" s="115"/>
      <c r="J15" s="150"/>
      <c r="K15" s="127"/>
      <c r="L15" s="127"/>
      <c r="M15" s="320"/>
      <c r="N15" s="322"/>
      <c r="O15" s="322"/>
      <c r="P15" s="115"/>
      <c r="Q15" s="115"/>
      <c r="R15" s="115"/>
      <c r="S15" s="115"/>
      <c r="T15" s="115"/>
      <c r="U15" s="119"/>
      <c r="V15" s="166"/>
    </row>
    <row r="16" spans="1:36" ht="24.9" customHeight="1" x14ac:dyDescent="0.2">
      <c r="A16" s="166"/>
      <c r="B16" s="128"/>
      <c r="C16" s="143" t="s">
        <v>49</v>
      </c>
      <c r="D16" s="144"/>
      <c r="E16" s="145"/>
      <c r="F16" s="309" t="str">
        <f>S8</f>
        <v>USD$</v>
      </c>
      <c r="G16" s="351">
        <v>234318</v>
      </c>
      <c r="H16" s="352"/>
      <c r="I16" s="115"/>
      <c r="J16" s="370" t="s">
        <v>165</v>
      </c>
      <c r="K16" s="354"/>
      <c r="L16" s="354"/>
      <c r="M16" s="329" t="str">
        <f>$S$8</f>
        <v>USD$</v>
      </c>
      <c r="N16" s="362">
        <f>N10-N12+N14</f>
        <v>565.59379303999515</v>
      </c>
      <c r="O16" s="363"/>
      <c r="P16" s="115"/>
      <c r="Q16" s="323" t="str">
        <f>"1 "&amp;S8&amp;" = "</f>
        <v xml:space="preserve">1 USD$ = </v>
      </c>
      <c r="R16" s="313">
        <v>1</v>
      </c>
      <c r="S16" s="311" t="str">
        <f>S10</f>
        <v>USD$</v>
      </c>
      <c r="T16" s="115"/>
      <c r="U16" s="119"/>
      <c r="V16" s="166"/>
    </row>
    <row r="17" spans="1:22" ht="3.9" customHeight="1" x14ac:dyDescent="0.2">
      <c r="A17" s="166"/>
      <c r="B17" s="114"/>
      <c r="C17" s="269"/>
      <c r="D17" s="269"/>
      <c r="E17" s="269"/>
      <c r="F17" s="130"/>
      <c r="G17" s="130"/>
      <c r="H17" s="129"/>
      <c r="I17" s="115"/>
      <c r="J17" s="307"/>
      <c r="K17" s="307"/>
      <c r="L17" s="307"/>
      <c r="M17" s="320"/>
      <c r="N17" s="322"/>
      <c r="O17" s="322"/>
      <c r="P17" s="115"/>
      <c r="Q17" s="115"/>
      <c r="R17" s="115"/>
      <c r="S17" s="115"/>
      <c r="T17" s="115"/>
      <c r="U17" s="119"/>
      <c r="V17" s="166"/>
    </row>
    <row r="18" spans="1:22" ht="24.9" customHeight="1" x14ac:dyDescent="0.2">
      <c r="A18" s="166"/>
      <c r="B18" s="114"/>
      <c r="C18" s="143" t="str">
        <f>VLOOKUP(C12,AD6:AJ8,3,FALSE)</f>
        <v>Free Cash Flow Growth Rate (Yr 1 - 5)</v>
      </c>
      <c r="D18" s="144"/>
      <c r="E18" s="145"/>
      <c r="F18" s="348">
        <v>0.20910000000000001</v>
      </c>
      <c r="G18" s="349"/>
      <c r="H18" s="350"/>
      <c r="I18" s="115"/>
      <c r="J18" s="370" t="s">
        <v>166</v>
      </c>
      <c r="K18" s="354"/>
      <c r="L18" s="354"/>
      <c r="M18" s="324" t="str">
        <f>$S$10</f>
        <v>USD$</v>
      </c>
      <c r="N18" s="381">
        <f>N16*R16</f>
        <v>565.59379303999515</v>
      </c>
      <c r="O18" s="382"/>
      <c r="P18" s="115"/>
      <c r="Q18" s="115"/>
      <c r="R18" s="115"/>
      <c r="S18" s="115"/>
      <c r="T18" s="115"/>
      <c r="U18" s="119"/>
      <c r="V18" s="166"/>
    </row>
    <row r="19" spans="1:22" ht="3.9" customHeight="1" x14ac:dyDescent="0.2">
      <c r="A19" s="166"/>
      <c r="B19" s="114"/>
      <c r="C19" s="269"/>
      <c r="D19" s="269"/>
      <c r="E19" s="269"/>
      <c r="F19" s="130"/>
      <c r="G19" s="130"/>
      <c r="H19" s="129"/>
      <c r="I19" s="126"/>
      <c r="J19" s="307"/>
      <c r="K19" s="307"/>
      <c r="L19" s="307"/>
      <c r="M19" s="307"/>
      <c r="N19" s="307"/>
      <c r="O19" s="307"/>
      <c r="P19" s="115"/>
      <c r="Q19" s="115"/>
      <c r="R19" s="115"/>
      <c r="S19" s="115"/>
      <c r="T19" s="115"/>
      <c r="U19" s="119"/>
      <c r="V19" s="166"/>
    </row>
    <row r="20" spans="1:22" ht="24.9" customHeight="1" x14ac:dyDescent="0.2">
      <c r="A20" s="166"/>
      <c r="B20" s="114"/>
      <c r="C20" s="143" t="str">
        <f>VLOOKUP(C12,AD6:AJ8,4,FALSE)</f>
        <v>Free Cash Flow growth rate (Yr 6 - 10)</v>
      </c>
      <c r="D20" s="144"/>
      <c r="E20" s="145"/>
      <c r="F20" s="348">
        <v>0.1045</v>
      </c>
      <c r="G20" s="349"/>
      <c r="H20" s="350"/>
      <c r="I20" s="126"/>
      <c r="J20" s="143" t="s">
        <v>136</v>
      </c>
      <c r="K20" s="138"/>
      <c r="L20" s="139"/>
      <c r="M20" s="379">
        <f>M22/N18-1</f>
        <v>0.11917776996403195</v>
      </c>
      <c r="N20" s="380"/>
      <c r="O20" s="115"/>
      <c r="P20" s="115"/>
      <c r="Q20" s="115"/>
      <c r="R20" s="115"/>
      <c r="S20" s="115"/>
      <c r="T20" s="115"/>
      <c r="U20" s="119"/>
      <c r="V20" s="166"/>
    </row>
    <row r="21" spans="1:22" ht="3.9" customHeight="1" x14ac:dyDescent="0.2">
      <c r="A21" s="166"/>
      <c r="B21" s="114"/>
      <c r="C21" s="270"/>
      <c r="D21" s="270"/>
      <c r="E21" s="270"/>
      <c r="F21" s="129"/>
      <c r="G21" s="129"/>
      <c r="H21" s="129"/>
      <c r="I21" s="115"/>
      <c r="J21" s="307"/>
      <c r="K21" s="307"/>
      <c r="L21" s="307"/>
      <c r="M21" s="307"/>
      <c r="N21" s="307"/>
      <c r="O21" s="307"/>
      <c r="P21" s="115"/>
      <c r="Q21" s="115"/>
      <c r="R21" s="115"/>
      <c r="S21" s="115"/>
      <c r="T21" s="115"/>
      <c r="U21" s="119"/>
      <c r="V21" s="166"/>
    </row>
    <row r="22" spans="1:22" ht="24.9" customHeight="1" x14ac:dyDescent="0.2">
      <c r="A22" s="166"/>
      <c r="B22" s="114"/>
      <c r="C22" s="143" t="str">
        <f>VLOOKUP(C12,AD6:AJ8,7,FALSE)</f>
        <v>Free Cash Flow Growth Rate (Yr 11 - 20)</v>
      </c>
      <c r="D22" s="144"/>
      <c r="E22" s="145"/>
      <c r="F22" s="348">
        <v>7.0000000000000007E-2</v>
      </c>
      <c r="G22" s="349"/>
      <c r="H22" s="350"/>
      <c r="I22" s="115"/>
      <c r="J22" s="143" t="s">
        <v>59</v>
      </c>
      <c r="K22" s="151"/>
      <c r="L22" s="312" t="str">
        <f>$S$10</f>
        <v>USD$</v>
      </c>
      <c r="M22" s="383">
        <v>633</v>
      </c>
      <c r="N22" s="384"/>
      <c r="O22" s="115"/>
      <c r="P22" s="115"/>
      <c r="Q22" s="115"/>
      <c r="R22" s="115"/>
      <c r="S22" s="115"/>
      <c r="T22" s="115"/>
      <c r="U22" s="119"/>
      <c r="V22" s="166"/>
    </row>
    <row r="23" spans="1:22" ht="3.75" customHeight="1" x14ac:dyDescent="0.25">
      <c r="A23" s="166"/>
      <c r="B23" s="114"/>
      <c r="C23" s="271"/>
      <c r="D23" s="271"/>
      <c r="E23" s="271"/>
      <c r="F23" s="310"/>
      <c r="G23" s="310"/>
      <c r="H23" s="129"/>
      <c r="I23" s="115"/>
      <c r="J23" s="150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9"/>
      <c r="V23" s="166"/>
    </row>
    <row r="24" spans="1:22" ht="24.9" customHeight="1" x14ac:dyDescent="0.2">
      <c r="A24" s="166"/>
      <c r="B24" s="114"/>
      <c r="C24" s="271"/>
      <c r="D24" s="271"/>
      <c r="E24" s="271"/>
      <c r="F24" s="310"/>
      <c r="G24" s="310"/>
      <c r="H24" s="129"/>
      <c r="I24" s="115"/>
      <c r="J24" s="143" t="s">
        <v>37</v>
      </c>
      <c r="K24" s="142"/>
      <c r="L24" s="366">
        <f ca="1">YEAR(TODAY())-1</f>
        <v>2022</v>
      </c>
      <c r="M24" s="367"/>
      <c r="N24" s="136" t="s">
        <v>43</v>
      </c>
      <c r="O24" s="115"/>
      <c r="P24" s="115"/>
      <c r="Q24" s="115"/>
      <c r="R24" s="115"/>
      <c r="S24" s="115"/>
      <c r="T24" s="115"/>
      <c r="U24" s="119"/>
      <c r="V24" s="166"/>
    </row>
    <row r="25" spans="1:22" ht="3.9" customHeight="1" x14ac:dyDescent="0.2">
      <c r="A25" s="166"/>
      <c r="B25" s="114"/>
      <c r="C25" s="271"/>
      <c r="D25" s="271"/>
      <c r="E25" s="271"/>
      <c r="F25" s="310"/>
      <c r="G25" s="310"/>
      <c r="H25" s="129"/>
      <c r="I25" s="115"/>
      <c r="J25" s="146"/>
      <c r="K25" s="131"/>
      <c r="L25" s="115"/>
      <c r="M25" s="115"/>
      <c r="N25" s="115"/>
      <c r="O25" s="115"/>
      <c r="P25" s="115"/>
      <c r="Q25" s="115"/>
      <c r="R25" s="115"/>
      <c r="S25" s="115"/>
      <c r="T25" s="115"/>
      <c r="U25" s="119"/>
      <c r="V25" s="166"/>
    </row>
    <row r="26" spans="1:22" ht="24.9" customHeight="1" x14ac:dyDescent="0.2">
      <c r="A26" s="166"/>
      <c r="B26" s="114"/>
      <c r="C26" s="140" t="s">
        <v>42</v>
      </c>
      <c r="D26" s="272"/>
      <c r="E26" s="273"/>
      <c r="F26" s="371">
        <v>9513.9</v>
      </c>
      <c r="G26" s="372"/>
      <c r="H26" s="373"/>
      <c r="I26" s="115"/>
      <c r="J26" s="143" t="s">
        <v>40</v>
      </c>
      <c r="K26" s="142"/>
      <c r="L26" s="377">
        <v>0.105</v>
      </c>
      <c r="M26" s="378"/>
      <c r="N26" s="115"/>
      <c r="O26" s="115"/>
      <c r="P26" s="115"/>
      <c r="Q26" s="115"/>
      <c r="R26" s="115"/>
      <c r="S26" s="115"/>
      <c r="T26" s="115"/>
      <c r="U26" s="119"/>
      <c r="V26" s="166"/>
    </row>
    <row r="27" spans="1:22" ht="8.1" customHeight="1" x14ac:dyDescent="0.2">
      <c r="A27" s="166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9"/>
      <c r="V27" s="166"/>
    </row>
    <row r="28" spans="1:22" ht="18" customHeight="1" x14ac:dyDescent="0.2">
      <c r="A28" s="166"/>
      <c r="B28" s="114"/>
      <c r="C28" s="153" t="s">
        <v>15</v>
      </c>
      <c r="D28" s="154"/>
      <c r="E28" s="155"/>
      <c r="F28" s="156">
        <f ca="1">$L$24+1</f>
        <v>2023</v>
      </c>
      <c r="G28" s="156">
        <f ca="1">$L$24+2</f>
        <v>2024</v>
      </c>
      <c r="H28" s="156">
        <f ca="1">$L$24+3</f>
        <v>2025</v>
      </c>
      <c r="I28" s="156">
        <f ca="1">$L$24+4</f>
        <v>2026</v>
      </c>
      <c r="J28" s="156">
        <f ca="1">$L$24+5</f>
        <v>2027</v>
      </c>
      <c r="K28" s="156">
        <f ca="1">$L$24+6</f>
        <v>2028</v>
      </c>
      <c r="L28" s="156">
        <f ca="1">$L$24+7</f>
        <v>2029</v>
      </c>
      <c r="M28" s="156">
        <f ca="1">$L$24+8</f>
        <v>2030</v>
      </c>
      <c r="N28" s="156">
        <f ca="1">$L$24+9</f>
        <v>2031</v>
      </c>
      <c r="O28" s="156">
        <f ca="1">$L$24+10</f>
        <v>2032</v>
      </c>
      <c r="P28" s="115"/>
      <c r="Q28" s="115"/>
      <c r="R28" s="115"/>
      <c r="S28" s="115"/>
      <c r="T28" s="115"/>
      <c r="U28" s="119"/>
      <c r="V28" s="166"/>
    </row>
    <row r="29" spans="1:22" ht="18" customHeight="1" x14ac:dyDescent="0.2">
      <c r="A29" s="166"/>
      <c r="B29" s="114"/>
      <c r="C29" s="374" t="str">
        <f>VLOOKUP(C12,AD6:AJ8,5,FALSE)</f>
        <v>Free Cash Flow (Projected)</v>
      </c>
      <c r="D29" s="375"/>
      <c r="E29" s="376"/>
      <c r="F29" s="152">
        <f>(G12)*(1+F18)</f>
        <v>236810.69870000001</v>
      </c>
      <c r="G29" s="152">
        <f>($F29)*(1+$F$18)</f>
        <v>286327.81579817005</v>
      </c>
      <c r="H29" s="152">
        <f>(G$29)*(1+$F$18)</f>
        <v>346198.96208156744</v>
      </c>
      <c r="I29" s="152">
        <f>(H$29)*(1+$F$18)</f>
        <v>418589.1650528232</v>
      </c>
      <c r="J29" s="152">
        <f>(I$29)*(1+$F$18)</f>
        <v>506116.15946536855</v>
      </c>
      <c r="K29" s="152">
        <f t="shared" ref="K29:O29" si="0">(J$29)*(1+$F$20)</f>
        <v>559005.29812949954</v>
      </c>
      <c r="L29" s="152">
        <f t="shared" si="0"/>
        <v>617421.3517840323</v>
      </c>
      <c r="M29" s="152">
        <f t="shared" si="0"/>
        <v>681941.88304546371</v>
      </c>
      <c r="N29" s="152">
        <f t="shared" si="0"/>
        <v>753204.80982371466</v>
      </c>
      <c r="O29" s="152">
        <f t="shared" si="0"/>
        <v>831914.71245029289</v>
      </c>
      <c r="P29" s="115"/>
      <c r="Q29" s="115"/>
      <c r="R29" s="115"/>
      <c r="S29" s="115"/>
      <c r="T29" s="115"/>
      <c r="U29" s="119"/>
      <c r="V29" s="166"/>
    </row>
    <row r="30" spans="1:22" ht="18" customHeight="1" x14ac:dyDescent="0.2">
      <c r="A30" s="166"/>
      <c r="B30" s="114"/>
      <c r="C30" s="157" t="s">
        <v>17</v>
      </c>
      <c r="D30" s="158"/>
      <c r="E30" s="159"/>
      <c r="F30" s="132">
        <f>1/(1+$L$26)</f>
        <v>0.90497737556561086</v>
      </c>
      <c r="G30" s="132">
        <f>F$30/(1+$L$26)</f>
        <v>0.81898405028562071</v>
      </c>
      <c r="H30" s="132">
        <f t="shared" ref="H30:O30" si="1">G$30/(1+$L$26)</f>
        <v>0.74116203645757528</v>
      </c>
      <c r="I30" s="132">
        <f t="shared" si="1"/>
        <v>0.67073487462224013</v>
      </c>
      <c r="J30" s="132">
        <f t="shared" si="1"/>
        <v>0.60699988653596393</v>
      </c>
      <c r="K30" s="132">
        <f t="shared" si="1"/>
        <v>0.54932116428594024</v>
      </c>
      <c r="L30" s="132">
        <f t="shared" si="1"/>
        <v>0.49712322559813599</v>
      </c>
      <c r="M30" s="132">
        <f t="shared" si="1"/>
        <v>0.44988527203451223</v>
      </c>
      <c r="N30" s="132">
        <f t="shared" si="1"/>
        <v>0.40713599279141377</v>
      </c>
      <c r="O30" s="132">
        <f t="shared" si="1"/>
        <v>0.3684488622546731</v>
      </c>
      <c r="P30" s="115"/>
      <c r="Q30" s="115"/>
      <c r="R30" s="115"/>
      <c r="S30" s="115"/>
      <c r="T30" s="115"/>
      <c r="U30" s="119"/>
      <c r="V30" s="166"/>
    </row>
    <row r="31" spans="1:22" ht="18" customHeight="1" x14ac:dyDescent="0.2">
      <c r="A31" s="166"/>
      <c r="B31" s="114"/>
      <c r="C31" s="160" t="s">
        <v>18</v>
      </c>
      <c r="D31" s="161"/>
      <c r="E31" s="162"/>
      <c r="F31" s="163">
        <f>F29*F30</f>
        <v>214308.32461538463</v>
      </c>
      <c r="G31" s="163">
        <f t="shared" ref="G31:O31" si="2">G29*G30</f>
        <v>234497.91429182043</v>
      </c>
      <c r="H31" s="163">
        <f t="shared" si="2"/>
        <v>256589.52775587342</v>
      </c>
      <c r="I31" s="163">
        <f t="shared" si="2"/>
        <v>280762.35113993357</v>
      </c>
      <c r="J31" s="163">
        <f t="shared" si="2"/>
        <v>307212.45136949653</v>
      </c>
      <c r="K31" s="163">
        <f t="shared" si="2"/>
        <v>307073.44121050584</v>
      </c>
      <c r="L31" s="163">
        <f t="shared" si="2"/>
        <v>306934.49395203957</v>
      </c>
      <c r="M31" s="163">
        <f t="shared" si="2"/>
        <v>306795.60956563597</v>
      </c>
      <c r="N31" s="163">
        <f t="shared" si="2"/>
        <v>306656.7880228461</v>
      </c>
      <c r="O31" s="163">
        <f t="shared" si="2"/>
        <v>306518.02929523395</v>
      </c>
      <c r="P31" s="115"/>
      <c r="Q31" s="115"/>
      <c r="R31" s="115"/>
      <c r="S31" s="115"/>
      <c r="T31" s="115"/>
      <c r="U31" s="119"/>
      <c r="V31" s="166"/>
    </row>
    <row r="32" spans="1:22" ht="17.25" customHeight="1" x14ac:dyDescent="0.2">
      <c r="A32" s="166"/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9"/>
      <c r="V32" s="166"/>
    </row>
    <row r="33" spans="1:22" ht="18" customHeight="1" x14ac:dyDescent="0.2">
      <c r="A33" s="166"/>
      <c r="B33" s="114"/>
      <c r="C33" s="153" t="s">
        <v>15</v>
      </c>
      <c r="D33" s="154"/>
      <c r="E33" s="155"/>
      <c r="F33" s="156">
        <f ca="1">$L$24+11</f>
        <v>2033</v>
      </c>
      <c r="G33" s="156">
        <f ca="1">$L$24+12</f>
        <v>2034</v>
      </c>
      <c r="H33" s="156">
        <f ca="1">$L$24+13</f>
        <v>2035</v>
      </c>
      <c r="I33" s="156">
        <f ca="1">$L$24+14</f>
        <v>2036</v>
      </c>
      <c r="J33" s="156">
        <f ca="1">$L$24+15</f>
        <v>2037</v>
      </c>
      <c r="K33" s="156">
        <f ca="1">$L$24+16</f>
        <v>2038</v>
      </c>
      <c r="L33" s="156">
        <f ca="1">$L$24+17</f>
        <v>2039</v>
      </c>
      <c r="M33" s="156">
        <f ca="1">$L$24+18</f>
        <v>2040</v>
      </c>
      <c r="N33" s="156">
        <f ca="1">$L$24+19</f>
        <v>2041</v>
      </c>
      <c r="O33" s="156">
        <f ca="1">$L$24+20</f>
        <v>2042</v>
      </c>
      <c r="P33" s="115"/>
      <c r="Q33" s="115"/>
      <c r="R33" s="115"/>
      <c r="S33" s="115"/>
      <c r="T33" s="115"/>
      <c r="U33" s="119"/>
      <c r="V33" s="166"/>
    </row>
    <row r="34" spans="1:22" ht="18" customHeight="1" x14ac:dyDescent="0.2">
      <c r="A34" s="166"/>
      <c r="B34" s="114"/>
      <c r="C34" s="374" t="str">
        <f>VLOOKUP(C12,AD6:AJ8,5,FALSE)</f>
        <v>Free Cash Flow (Projected)</v>
      </c>
      <c r="D34" s="375"/>
      <c r="E34" s="376"/>
      <c r="F34" s="152">
        <f>(O$29)*(1+$F$22)</f>
        <v>890148.74232181348</v>
      </c>
      <c r="G34" s="152">
        <f t="shared" ref="G34:O34" si="3">(F$34)*(1+$F$22)</f>
        <v>952459.15428434045</v>
      </c>
      <c r="H34" s="152">
        <f t="shared" si="3"/>
        <v>1019131.2950842443</v>
      </c>
      <c r="I34" s="152">
        <f t="shared" si="3"/>
        <v>1090470.4857401415</v>
      </c>
      <c r="J34" s="152">
        <f t="shared" si="3"/>
        <v>1166803.4197419514</v>
      </c>
      <c r="K34" s="152">
        <f t="shared" si="3"/>
        <v>1248479.659123888</v>
      </c>
      <c r="L34" s="152">
        <f t="shared" si="3"/>
        <v>1335873.2352625602</v>
      </c>
      <c r="M34" s="152">
        <f t="shared" si="3"/>
        <v>1429384.3617309395</v>
      </c>
      <c r="N34" s="152">
        <f t="shared" si="3"/>
        <v>1529441.2670521054</v>
      </c>
      <c r="O34" s="152">
        <f t="shared" si="3"/>
        <v>1636502.1557457529</v>
      </c>
      <c r="P34" s="115"/>
      <c r="Q34" s="115"/>
      <c r="R34" s="115"/>
      <c r="S34" s="115"/>
      <c r="T34" s="115"/>
      <c r="U34" s="119"/>
      <c r="V34" s="166"/>
    </row>
    <row r="35" spans="1:22" ht="18" customHeight="1" x14ac:dyDescent="0.2">
      <c r="A35" s="166"/>
      <c r="B35" s="114"/>
      <c r="C35" s="157" t="s">
        <v>17</v>
      </c>
      <c r="D35" s="158"/>
      <c r="E35" s="159"/>
      <c r="F35" s="132">
        <f>O$30/(1+$L$26)</f>
        <v>0.33343788439336935</v>
      </c>
      <c r="G35" s="132">
        <f t="shared" ref="G35:O35" si="4">F$35/(1+$L$26)</f>
        <v>0.30175374153246098</v>
      </c>
      <c r="H35" s="132">
        <f t="shared" si="4"/>
        <v>0.27308030907915021</v>
      </c>
      <c r="I35" s="132">
        <f t="shared" si="4"/>
        <v>0.24713150142909521</v>
      </c>
      <c r="J35" s="132">
        <f t="shared" si="4"/>
        <v>0.22364841758289158</v>
      </c>
      <c r="K35" s="132">
        <f t="shared" si="4"/>
        <v>0.20239675799356704</v>
      </c>
      <c r="L35" s="132">
        <f t="shared" si="4"/>
        <v>0.18316448687200637</v>
      </c>
      <c r="M35" s="132">
        <f t="shared" si="4"/>
        <v>0.16575971662625011</v>
      </c>
      <c r="N35" s="132">
        <f t="shared" si="4"/>
        <v>0.15000879332692318</v>
      </c>
      <c r="O35" s="132">
        <f t="shared" si="4"/>
        <v>0.13575456409676306</v>
      </c>
      <c r="P35" s="115"/>
      <c r="Q35" s="115"/>
      <c r="R35" s="115"/>
      <c r="S35" s="115"/>
      <c r="T35" s="115"/>
      <c r="U35" s="119"/>
      <c r="V35" s="166"/>
    </row>
    <row r="36" spans="1:22" ht="18" customHeight="1" x14ac:dyDescent="0.2">
      <c r="A36" s="166"/>
      <c r="B36" s="114"/>
      <c r="C36" s="160" t="s">
        <v>18</v>
      </c>
      <c r="D36" s="161"/>
      <c r="E36" s="162"/>
      <c r="F36" s="163">
        <f t="shared" ref="F36:O36" si="5">F34*F35</f>
        <v>296809.31343520398</v>
      </c>
      <c r="G36" s="163">
        <f t="shared" si="5"/>
        <v>287408.11346214323</v>
      </c>
      <c r="H36" s="163">
        <f t="shared" si="5"/>
        <v>278304.68905384006</v>
      </c>
      <c r="I36" s="163">
        <f t="shared" si="5"/>
        <v>269489.60840507591</v>
      </c>
      <c r="J36" s="163">
        <f t="shared" si="5"/>
        <v>260953.73845559388</v>
      </c>
      <c r="K36" s="163">
        <f t="shared" si="5"/>
        <v>252688.23542758863</v>
      </c>
      <c r="L36" s="163">
        <f t="shared" si="5"/>
        <v>244684.5356629139</v>
      </c>
      <c r="M36" s="163">
        <f t="shared" si="5"/>
        <v>236934.34675051391</v>
      </c>
      <c r="N36" s="163">
        <f t="shared" si="5"/>
        <v>229429.63893488681</v>
      </c>
      <c r="O36" s="163">
        <f t="shared" si="5"/>
        <v>222162.63679667775</v>
      </c>
      <c r="P36" s="115"/>
      <c r="Q36" s="115"/>
      <c r="R36" s="115"/>
      <c r="S36" s="115"/>
      <c r="T36" s="115"/>
      <c r="U36" s="119"/>
      <c r="V36" s="166"/>
    </row>
    <row r="37" spans="1:22" x14ac:dyDescent="0.2">
      <c r="A37" s="166"/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9"/>
      <c r="V37" s="166"/>
    </row>
    <row r="38" spans="1:22" x14ac:dyDescent="0.2">
      <c r="A38" s="166"/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9"/>
      <c r="V38" s="166"/>
    </row>
    <row r="39" spans="1:22" x14ac:dyDescent="0.2">
      <c r="A39" s="166"/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9"/>
      <c r="V39" s="166"/>
    </row>
    <row r="40" spans="1:22" x14ac:dyDescent="0.2">
      <c r="A40" s="166"/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9"/>
      <c r="V40" s="166"/>
    </row>
    <row r="41" spans="1:22" x14ac:dyDescent="0.2">
      <c r="A41" s="166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9"/>
      <c r="V41" s="166"/>
    </row>
    <row r="42" spans="1:22" x14ac:dyDescent="0.2">
      <c r="A42" s="166"/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9"/>
      <c r="V42" s="166"/>
    </row>
    <row r="43" spans="1:22" x14ac:dyDescent="0.2">
      <c r="A43" s="166"/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9"/>
      <c r="V43" s="166"/>
    </row>
    <row r="44" spans="1:22" x14ac:dyDescent="0.2">
      <c r="A44" s="166"/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9"/>
      <c r="V44" s="166"/>
    </row>
    <row r="45" spans="1:22" x14ac:dyDescent="0.2">
      <c r="A45" s="166"/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9"/>
      <c r="V45" s="166"/>
    </row>
    <row r="46" spans="1:22" x14ac:dyDescent="0.2">
      <c r="A46" s="166"/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9"/>
      <c r="V46" s="166"/>
    </row>
    <row r="47" spans="1:22" x14ac:dyDescent="0.2">
      <c r="A47" s="166"/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9"/>
      <c r="V47" s="166"/>
    </row>
    <row r="48" spans="1:22" x14ac:dyDescent="0.2">
      <c r="A48" s="166"/>
      <c r="B48" s="114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9"/>
      <c r="V48" s="166"/>
    </row>
    <row r="49" spans="1:37" x14ac:dyDescent="0.2">
      <c r="A49" s="166"/>
      <c r="B49" s="114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9"/>
      <c r="V49" s="166"/>
    </row>
    <row r="50" spans="1:37" x14ac:dyDescent="0.2">
      <c r="A50" s="166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9"/>
      <c r="V50" s="166"/>
    </row>
    <row r="51" spans="1:37" x14ac:dyDescent="0.2">
      <c r="A51" s="166"/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9"/>
      <c r="V51" s="166"/>
    </row>
    <row r="52" spans="1:37" x14ac:dyDescent="0.2">
      <c r="A52" s="166"/>
      <c r="B52" s="114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9"/>
      <c r="V52" s="166"/>
    </row>
    <row r="53" spans="1:37" x14ac:dyDescent="0.2">
      <c r="A53" s="166"/>
      <c r="B53" s="114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9"/>
      <c r="V53" s="166"/>
    </row>
    <row r="54" spans="1:37" ht="13.2" thickBot="1" x14ac:dyDescent="0.25">
      <c r="A54" s="166"/>
      <c r="B54" s="134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5"/>
      <c r="V54" s="166"/>
    </row>
    <row r="55" spans="1:37" x14ac:dyDescent="0.2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</row>
    <row r="56" spans="1:37" ht="17.399999999999999" x14ac:dyDescent="0.3">
      <c r="A56" s="166"/>
      <c r="B56" s="168"/>
      <c r="C56" s="181" t="s">
        <v>129</v>
      </c>
      <c r="D56" s="169"/>
      <c r="E56" s="169"/>
      <c r="F56" s="170"/>
      <c r="G56" s="170"/>
      <c r="H56" s="170"/>
      <c r="I56" s="168"/>
      <c r="J56" s="181" t="s">
        <v>130</v>
      </c>
      <c r="K56" s="170"/>
      <c r="L56" s="170"/>
      <c r="M56" s="170"/>
      <c r="N56" s="170"/>
      <c r="O56" s="111"/>
      <c r="P56" s="111"/>
      <c r="Q56" s="111"/>
      <c r="R56" s="111"/>
      <c r="S56" s="111"/>
      <c r="T56" s="111"/>
      <c r="U56" s="111"/>
      <c r="V56" s="166"/>
      <c r="AC56" s="304"/>
      <c r="AD56" s="304"/>
      <c r="AE56" s="304"/>
      <c r="AF56" s="304"/>
      <c r="AG56" s="304"/>
      <c r="AH56" s="304"/>
      <c r="AI56" s="304"/>
      <c r="AJ56" s="304"/>
      <c r="AK56" s="304"/>
    </row>
    <row r="57" spans="1:37" ht="16.2" thickBot="1" x14ac:dyDescent="0.35">
      <c r="A57" s="166"/>
      <c r="B57" s="168"/>
      <c r="C57" s="171"/>
      <c r="D57" s="172"/>
      <c r="E57" s="173"/>
      <c r="F57" s="170"/>
      <c r="G57" s="170"/>
      <c r="H57" s="170"/>
      <c r="I57" s="168"/>
      <c r="J57" s="173"/>
      <c r="K57" s="173"/>
      <c r="L57" s="170"/>
      <c r="M57" s="170"/>
      <c r="N57" s="170"/>
      <c r="O57" s="111"/>
      <c r="P57" s="111"/>
      <c r="Q57" s="111"/>
      <c r="R57" s="111"/>
      <c r="S57" s="111"/>
      <c r="T57" s="111"/>
      <c r="U57" s="111"/>
      <c r="V57" s="166"/>
    </row>
    <row r="58" spans="1:37" ht="25.5" customHeight="1" thickBot="1" x14ac:dyDescent="0.35">
      <c r="A58" s="166"/>
      <c r="B58" s="168"/>
      <c r="C58" s="182" t="s">
        <v>45</v>
      </c>
      <c r="D58" s="183"/>
      <c r="E58" s="183" t="s">
        <v>46</v>
      </c>
      <c r="F58" s="184"/>
      <c r="G58" s="178"/>
      <c r="H58" s="178"/>
      <c r="I58" s="177"/>
      <c r="J58" s="291" t="s">
        <v>45</v>
      </c>
      <c r="K58" s="289"/>
      <c r="L58" s="289" t="s">
        <v>46</v>
      </c>
      <c r="M58" s="290"/>
      <c r="N58" s="170"/>
      <c r="O58" s="165"/>
      <c r="P58" s="165"/>
      <c r="Q58" s="165"/>
      <c r="R58" s="165"/>
      <c r="S58" s="165"/>
      <c r="T58" s="111"/>
      <c r="U58" s="111"/>
      <c r="V58" s="166"/>
      <c r="AC58" s="299"/>
      <c r="AD58" s="299"/>
      <c r="AE58" s="299"/>
      <c r="AF58" s="299"/>
      <c r="AG58" s="299"/>
      <c r="AH58" s="299"/>
      <c r="AI58" s="299"/>
      <c r="AJ58" s="299"/>
      <c r="AK58" s="299"/>
    </row>
    <row r="59" spans="1:37" s="296" customFormat="1" ht="15" customHeight="1" x14ac:dyDescent="0.2">
      <c r="A59" s="105"/>
      <c r="B59" s="177"/>
      <c r="C59" s="292" t="s">
        <v>44</v>
      </c>
      <c r="D59" s="293"/>
      <c r="E59" s="201">
        <f>E69+0.8*E70</f>
        <v>4.6400000000000011E-2</v>
      </c>
      <c r="F59" s="190"/>
      <c r="G59" s="178"/>
      <c r="H59" s="178"/>
      <c r="I59" s="177"/>
      <c r="J59" s="196" t="s">
        <v>44</v>
      </c>
      <c r="K59" s="197"/>
      <c r="L59" s="198">
        <f>L69+0.8*L70</f>
        <v>5.8800000000000005E-2</v>
      </c>
      <c r="M59" s="187"/>
      <c r="N59" s="178"/>
      <c r="O59" s="167"/>
      <c r="P59" s="167"/>
      <c r="Q59" s="167"/>
      <c r="R59" s="167"/>
      <c r="S59" s="167"/>
      <c r="T59" s="106"/>
      <c r="U59" s="106"/>
      <c r="V59" s="105"/>
    </row>
    <row r="60" spans="1:37" s="296" customFormat="1" ht="15" customHeight="1" x14ac:dyDescent="0.2">
      <c r="A60" s="105"/>
      <c r="B60" s="177"/>
      <c r="C60" s="199">
        <v>1</v>
      </c>
      <c r="D60" s="200"/>
      <c r="E60" s="201">
        <f>E69+C60*E70</f>
        <v>5.6400000000000006E-2</v>
      </c>
      <c r="F60" s="190"/>
      <c r="G60" s="178"/>
      <c r="H60" s="178"/>
      <c r="I60" s="177"/>
      <c r="J60" s="199">
        <v>1</v>
      </c>
      <c r="K60" s="200"/>
      <c r="L60" s="201">
        <f>L69+J60*L70</f>
        <v>7.2000000000000008E-2</v>
      </c>
      <c r="M60" s="190"/>
      <c r="N60" s="178"/>
      <c r="O60" s="167"/>
      <c r="P60" s="167"/>
      <c r="Q60" s="167"/>
      <c r="R60" s="167"/>
      <c r="S60" s="167"/>
      <c r="T60" s="106"/>
      <c r="U60" s="106"/>
      <c r="V60" s="105"/>
    </row>
    <row r="61" spans="1:37" s="297" customFormat="1" ht="15" customHeight="1" x14ac:dyDescent="0.2">
      <c r="A61" s="106"/>
      <c r="B61" s="177"/>
      <c r="C61" s="199">
        <v>1.1000000000000001</v>
      </c>
      <c r="D61" s="200"/>
      <c r="E61" s="201">
        <f>E69+C61*E70</f>
        <v>6.140000000000001E-2</v>
      </c>
      <c r="F61" s="190"/>
      <c r="G61" s="178"/>
      <c r="H61" s="178"/>
      <c r="I61" s="177"/>
      <c r="J61" s="199">
        <v>1.1000000000000001</v>
      </c>
      <c r="K61" s="200"/>
      <c r="L61" s="201">
        <f>L69+J61*L70</f>
        <v>7.8600000000000017E-2</v>
      </c>
      <c r="M61" s="190"/>
      <c r="N61" s="178"/>
      <c r="O61" s="167"/>
      <c r="P61" s="167"/>
      <c r="Q61" s="167"/>
      <c r="R61" s="167"/>
      <c r="S61" s="167"/>
      <c r="T61" s="106"/>
      <c r="U61" s="106"/>
      <c r="V61" s="106"/>
      <c r="AC61" s="296"/>
      <c r="AD61" s="296"/>
      <c r="AE61" s="296"/>
      <c r="AF61" s="296"/>
      <c r="AG61" s="296"/>
      <c r="AH61" s="296"/>
      <c r="AI61" s="296"/>
      <c r="AJ61" s="296"/>
      <c r="AK61" s="296"/>
    </row>
    <row r="62" spans="1:37" s="297" customFormat="1" ht="15" customHeight="1" x14ac:dyDescent="0.2">
      <c r="A62" s="106"/>
      <c r="B62" s="177"/>
      <c r="C62" s="199">
        <v>1.2</v>
      </c>
      <c r="D62" s="200"/>
      <c r="E62" s="201">
        <f>E69+C62*E70</f>
        <v>6.6400000000000001E-2</v>
      </c>
      <c r="F62" s="190"/>
      <c r="G62" s="178"/>
      <c r="H62" s="178"/>
      <c r="I62" s="177"/>
      <c r="J62" s="199">
        <v>1.2</v>
      </c>
      <c r="K62" s="200"/>
      <c r="L62" s="201">
        <f>L69+J62*L70</f>
        <v>8.5200000000000012E-2</v>
      </c>
      <c r="M62" s="190"/>
      <c r="N62" s="178"/>
      <c r="O62" s="167"/>
      <c r="P62" s="167"/>
      <c r="Q62" s="167"/>
      <c r="R62" s="167"/>
      <c r="S62" s="167"/>
      <c r="T62" s="106"/>
      <c r="U62" s="106"/>
      <c r="V62" s="106"/>
      <c r="AC62" s="296"/>
      <c r="AD62" s="296"/>
      <c r="AE62" s="296"/>
      <c r="AF62" s="296"/>
      <c r="AG62" s="296"/>
      <c r="AH62" s="296"/>
      <c r="AI62" s="296"/>
      <c r="AJ62" s="296"/>
      <c r="AK62" s="296"/>
    </row>
    <row r="63" spans="1:37" s="297" customFormat="1" ht="15" customHeight="1" x14ac:dyDescent="0.2">
      <c r="A63" s="106"/>
      <c r="B63" s="177"/>
      <c r="C63" s="199">
        <v>1.3</v>
      </c>
      <c r="D63" s="200"/>
      <c r="E63" s="201">
        <f>E69+C63*E70</f>
        <v>7.1400000000000005E-2</v>
      </c>
      <c r="F63" s="190"/>
      <c r="G63" s="178"/>
      <c r="H63" s="178"/>
      <c r="I63" s="177"/>
      <c r="J63" s="199">
        <v>1.3</v>
      </c>
      <c r="K63" s="200"/>
      <c r="L63" s="201">
        <f>L69+J63*L70</f>
        <v>9.1800000000000007E-2</v>
      </c>
      <c r="M63" s="190"/>
      <c r="N63" s="178"/>
      <c r="O63" s="167"/>
      <c r="P63" s="167"/>
      <c r="Q63" s="167"/>
      <c r="R63" s="167"/>
      <c r="S63" s="167"/>
      <c r="T63" s="106"/>
      <c r="U63" s="106"/>
      <c r="V63" s="106"/>
      <c r="AC63" s="296"/>
      <c r="AD63" s="296"/>
      <c r="AE63" s="296"/>
      <c r="AF63" s="296"/>
      <c r="AG63" s="296"/>
      <c r="AH63" s="296"/>
      <c r="AI63" s="296"/>
      <c r="AJ63" s="296"/>
      <c r="AK63" s="296"/>
    </row>
    <row r="64" spans="1:37" s="297" customFormat="1" ht="15" customHeight="1" x14ac:dyDescent="0.2">
      <c r="A64" s="106"/>
      <c r="B64" s="177"/>
      <c r="C64" s="199">
        <v>1.4</v>
      </c>
      <c r="D64" s="200"/>
      <c r="E64" s="201">
        <f>E69+C64*E70</f>
        <v>7.6399999999999996E-2</v>
      </c>
      <c r="F64" s="190"/>
      <c r="G64" s="178"/>
      <c r="H64" s="178"/>
      <c r="I64" s="177"/>
      <c r="J64" s="199">
        <v>1.4</v>
      </c>
      <c r="K64" s="200"/>
      <c r="L64" s="201">
        <f>L69+J64*L70</f>
        <v>9.8400000000000001E-2</v>
      </c>
      <c r="M64" s="190"/>
      <c r="N64" s="178"/>
      <c r="O64" s="167"/>
      <c r="P64" s="167"/>
      <c r="Q64" s="167"/>
      <c r="R64" s="167"/>
      <c r="S64" s="167"/>
      <c r="T64" s="106"/>
      <c r="U64" s="106"/>
      <c r="V64" s="106"/>
      <c r="AC64" s="296"/>
      <c r="AD64" s="296"/>
      <c r="AE64" s="296"/>
      <c r="AF64" s="296"/>
      <c r="AG64" s="296"/>
      <c r="AH64" s="296"/>
      <c r="AI64" s="296"/>
      <c r="AJ64" s="296"/>
      <c r="AK64" s="296"/>
    </row>
    <row r="65" spans="1:37" s="297" customFormat="1" ht="15" customHeight="1" x14ac:dyDescent="0.2">
      <c r="A65" s="106"/>
      <c r="B65" s="177"/>
      <c r="C65" s="199">
        <v>1.5</v>
      </c>
      <c r="D65" s="200"/>
      <c r="E65" s="201">
        <f>E69+C65*E70</f>
        <v>8.1400000000000014E-2</v>
      </c>
      <c r="F65" s="190"/>
      <c r="G65" s="178"/>
      <c r="H65" s="178"/>
      <c r="I65" s="177"/>
      <c r="J65" s="199">
        <v>1.5</v>
      </c>
      <c r="K65" s="200"/>
      <c r="L65" s="201">
        <f>L69+J65*L70</f>
        <v>0.10500000000000001</v>
      </c>
      <c r="M65" s="190"/>
      <c r="N65" s="178"/>
      <c r="O65" s="167"/>
      <c r="P65" s="167"/>
      <c r="Q65" s="167"/>
      <c r="R65" s="167"/>
      <c r="S65" s="167"/>
      <c r="T65" s="106"/>
      <c r="U65" s="106"/>
      <c r="V65" s="106"/>
      <c r="AC65" s="296"/>
      <c r="AD65" s="296"/>
      <c r="AE65" s="296"/>
      <c r="AF65" s="296"/>
      <c r="AG65" s="296"/>
      <c r="AH65" s="296"/>
      <c r="AI65" s="296"/>
      <c r="AJ65" s="296"/>
      <c r="AK65" s="296"/>
    </row>
    <row r="66" spans="1:37" s="297" customFormat="1" ht="15" customHeight="1" thickBot="1" x14ac:dyDescent="0.25">
      <c r="A66" s="106"/>
      <c r="B66" s="177"/>
      <c r="C66" s="202" t="s">
        <v>47</v>
      </c>
      <c r="D66" s="203"/>
      <c r="E66" s="204">
        <f>E69+1.6*E70</f>
        <v>8.6400000000000018E-2</v>
      </c>
      <c r="F66" s="193"/>
      <c r="G66" s="178"/>
      <c r="H66" s="178"/>
      <c r="I66" s="177"/>
      <c r="J66" s="202" t="s">
        <v>47</v>
      </c>
      <c r="K66" s="203"/>
      <c r="L66" s="204">
        <f>L69+1.6*L70</f>
        <v>0.11160000000000002</v>
      </c>
      <c r="M66" s="193"/>
      <c r="N66" s="178"/>
      <c r="O66" s="167"/>
      <c r="P66" s="167"/>
      <c r="Q66" s="167"/>
      <c r="R66" s="167"/>
      <c r="S66" s="167"/>
      <c r="T66" s="106"/>
      <c r="U66" s="106"/>
      <c r="V66" s="106"/>
      <c r="AC66" s="296"/>
      <c r="AD66" s="296"/>
      <c r="AE66" s="296"/>
      <c r="AF66" s="296"/>
      <c r="AG66" s="296"/>
      <c r="AH66" s="296"/>
      <c r="AI66" s="296"/>
      <c r="AJ66" s="296"/>
      <c r="AK66" s="296"/>
    </row>
    <row r="67" spans="1:37" s="298" customFormat="1" ht="16.2" x14ac:dyDescent="0.3">
      <c r="A67" s="111"/>
      <c r="B67" s="168"/>
      <c r="C67" s="169"/>
      <c r="D67" s="169"/>
      <c r="E67" s="169"/>
      <c r="F67" s="169"/>
      <c r="G67" s="170"/>
      <c r="H67" s="170"/>
      <c r="I67" s="168"/>
      <c r="J67" s="170"/>
      <c r="K67" s="170"/>
      <c r="L67" s="170"/>
      <c r="M67" s="170"/>
      <c r="N67" s="170"/>
      <c r="O67" s="165"/>
      <c r="P67" s="165"/>
      <c r="Q67" s="165"/>
      <c r="R67" s="165"/>
      <c r="S67" s="165"/>
      <c r="T67" s="111"/>
      <c r="U67" s="111"/>
      <c r="V67" s="111"/>
      <c r="AC67" s="295"/>
      <c r="AD67" s="295"/>
      <c r="AE67" s="295"/>
      <c r="AF67" s="295"/>
      <c r="AG67" s="295"/>
      <c r="AH67" s="295"/>
      <c r="AI67" s="295"/>
      <c r="AJ67" s="295"/>
      <c r="AK67" s="295"/>
    </row>
    <row r="68" spans="1:37" s="317" customFormat="1" ht="20.100000000000001" customHeight="1" x14ac:dyDescent="0.25">
      <c r="A68" s="314"/>
      <c r="B68" s="316"/>
      <c r="C68" s="315" t="s">
        <v>131</v>
      </c>
      <c r="D68" s="293"/>
      <c r="E68" s="293"/>
      <c r="F68" s="293"/>
      <c r="G68" s="316"/>
      <c r="H68" s="316"/>
      <c r="I68" s="316"/>
      <c r="J68" s="315" t="s">
        <v>131</v>
      </c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4"/>
    </row>
    <row r="69" spans="1:37" s="317" customFormat="1" ht="20.100000000000001" customHeight="1" x14ac:dyDescent="0.25">
      <c r="A69" s="314"/>
      <c r="B69" s="316"/>
      <c r="C69" s="316"/>
      <c r="D69" s="318" t="s">
        <v>137</v>
      </c>
      <c r="E69" s="319">
        <v>6.4000000000000003E-3</v>
      </c>
      <c r="F69" s="316"/>
      <c r="G69" s="316"/>
      <c r="H69" s="316"/>
      <c r="I69" s="316"/>
      <c r="J69" s="316"/>
      <c r="K69" s="318" t="s">
        <v>137</v>
      </c>
      <c r="L69" s="319">
        <v>6.0000000000000001E-3</v>
      </c>
      <c r="M69" s="316"/>
      <c r="N69" s="316"/>
      <c r="O69" s="316"/>
      <c r="P69" s="316"/>
      <c r="Q69" s="316"/>
      <c r="R69" s="316"/>
      <c r="S69" s="316"/>
      <c r="T69" s="316"/>
      <c r="U69" s="316"/>
      <c r="V69" s="314"/>
    </row>
    <row r="70" spans="1:37" s="317" customFormat="1" ht="20.100000000000001" customHeight="1" x14ac:dyDescent="0.25">
      <c r="A70" s="314"/>
      <c r="B70" s="316"/>
      <c r="C70" s="316"/>
      <c r="D70" s="318" t="s">
        <v>132</v>
      </c>
      <c r="E70" s="319">
        <v>0.05</v>
      </c>
      <c r="F70" s="316"/>
      <c r="G70" s="316"/>
      <c r="H70" s="316"/>
      <c r="I70" s="316"/>
      <c r="J70" s="316"/>
      <c r="K70" s="318" t="s">
        <v>132</v>
      </c>
      <c r="L70" s="319">
        <v>6.6000000000000003E-2</v>
      </c>
      <c r="M70" s="316"/>
      <c r="N70" s="316"/>
      <c r="O70" s="316"/>
      <c r="P70" s="316"/>
      <c r="Q70" s="316"/>
      <c r="R70" s="316"/>
      <c r="S70" s="316"/>
      <c r="T70" s="316"/>
      <c r="U70" s="316"/>
      <c r="V70" s="314"/>
    </row>
    <row r="71" spans="1:37" s="298" customFormat="1" ht="16.2" x14ac:dyDescent="0.3">
      <c r="A71" s="111"/>
      <c r="B71" s="168"/>
      <c r="C71" s="169"/>
      <c r="D71" s="169"/>
      <c r="E71" s="169"/>
      <c r="F71" s="170"/>
      <c r="G71" s="170"/>
      <c r="H71" s="170"/>
      <c r="I71" s="170"/>
      <c r="J71" s="170"/>
      <c r="K71" s="170"/>
      <c r="L71" s="170"/>
      <c r="M71" s="170"/>
      <c r="N71" s="170"/>
      <c r="O71" s="165"/>
      <c r="P71" s="165"/>
      <c r="Q71" s="165"/>
      <c r="R71" s="165"/>
      <c r="S71" s="165"/>
      <c r="T71" s="111"/>
      <c r="U71" s="111"/>
      <c r="V71" s="111"/>
      <c r="AC71" s="299"/>
      <c r="AD71" s="299"/>
      <c r="AE71" s="299"/>
      <c r="AF71" s="299"/>
      <c r="AG71" s="299"/>
      <c r="AH71" s="299"/>
      <c r="AI71" s="299"/>
      <c r="AJ71" s="299"/>
      <c r="AK71" s="299"/>
    </row>
    <row r="72" spans="1:37" s="299" customFormat="1" ht="15.6" x14ac:dyDescent="0.3">
      <c r="A72" s="170"/>
      <c r="B72" s="170"/>
      <c r="C72" s="169" t="s">
        <v>133</v>
      </c>
      <c r="D72" s="169"/>
      <c r="E72" s="169"/>
      <c r="F72" s="170"/>
      <c r="G72" s="170"/>
      <c r="H72" s="170"/>
      <c r="I72" s="170"/>
      <c r="J72" s="169" t="s">
        <v>133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</row>
    <row r="73" spans="1:37" s="300" customFormat="1" ht="13.2" x14ac:dyDescent="0.25">
      <c r="A73" s="177"/>
      <c r="B73" s="168"/>
      <c r="C73" s="287" t="s">
        <v>134</v>
      </c>
      <c r="D73" s="180"/>
      <c r="E73" s="288"/>
      <c r="F73" s="168"/>
      <c r="G73" s="168"/>
      <c r="H73" s="168"/>
      <c r="I73" s="168"/>
      <c r="J73" s="180" t="s">
        <v>135</v>
      </c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77"/>
    </row>
    <row r="74" spans="1:37" s="297" customFormat="1" ht="12" customHeight="1" x14ac:dyDescent="0.25">
      <c r="A74" s="106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11"/>
      <c r="P74" s="111"/>
      <c r="Q74" s="111"/>
      <c r="R74" s="111"/>
      <c r="S74" s="111"/>
      <c r="T74" s="111"/>
      <c r="U74" s="111"/>
      <c r="V74" s="106"/>
      <c r="AC74" s="296"/>
      <c r="AD74" s="296"/>
      <c r="AE74" s="296"/>
      <c r="AF74" s="296"/>
      <c r="AG74" s="296"/>
      <c r="AH74" s="296"/>
      <c r="AI74" s="296"/>
      <c r="AJ74" s="296"/>
      <c r="AK74" s="296"/>
    </row>
    <row r="75" spans="1:37" s="297" customFormat="1" ht="12" customHeight="1" x14ac:dyDescent="0.3">
      <c r="A75" s="106"/>
      <c r="B75" s="168"/>
      <c r="C75" s="169"/>
      <c r="D75" s="169"/>
      <c r="E75" s="169"/>
      <c r="F75" s="169"/>
      <c r="G75" s="170"/>
      <c r="H75" s="170"/>
      <c r="I75" s="170"/>
      <c r="J75" s="170"/>
      <c r="K75" s="170"/>
      <c r="L75" s="170"/>
      <c r="M75" s="170"/>
      <c r="N75" s="170"/>
      <c r="O75" s="165"/>
      <c r="P75" s="165"/>
      <c r="Q75" s="165"/>
      <c r="R75" s="165"/>
      <c r="S75" s="165"/>
      <c r="T75" s="166"/>
      <c r="U75" s="166"/>
      <c r="V75" s="106"/>
      <c r="AC75" s="296"/>
      <c r="AD75" s="296"/>
      <c r="AE75" s="296"/>
      <c r="AF75" s="296"/>
      <c r="AG75" s="296"/>
      <c r="AH75" s="296"/>
      <c r="AI75" s="296"/>
      <c r="AJ75" s="296"/>
      <c r="AK75" s="296"/>
    </row>
    <row r="76" spans="1:37" s="298" customFormat="1" ht="17.399999999999999" x14ac:dyDescent="0.3">
      <c r="A76" s="111"/>
      <c r="B76" s="168"/>
      <c r="C76" s="181" t="s">
        <v>4</v>
      </c>
      <c r="D76" s="169"/>
      <c r="E76" s="169"/>
      <c r="F76" s="169"/>
      <c r="G76" s="170"/>
      <c r="H76" s="170"/>
      <c r="I76" s="170"/>
      <c r="J76" s="170"/>
      <c r="K76" s="170"/>
      <c r="L76" s="170"/>
      <c r="M76" s="170"/>
      <c r="N76" s="170"/>
      <c r="O76" s="165"/>
      <c r="P76" s="165"/>
      <c r="Q76" s="165"/>
      <c r="R76" s="165"/>
      <c r="S76" s="165"/>
      <c r="T76" s="166"/>
      <c r="U76" s="166"/>
      <c r="V76" s="111"/>
      <c r="AC76" s="304"/>
      <c r="AD76" s="304"/>
      <c r="AE76" s="304"/>
      <c r="AF76" s="304"/>
      <c r="AG76" s="304"/>
      <c r="AH76" s="304"/>
      <c r="AI76" s="304"/>
      <c r="AJ76" s="304"/>
      <c r="AK76" s="304"/>
    </row>
    <row r="77" spans="1:37" s="298" customFormat="1" ht="16.8" thickBot="1" x14ac:dyDescent="0.35">
      <c r="A77" s="111"/>
      <c r="B77" s="168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65"/>
      <c r="P77" s="165"/>
      <c r="Q77" s="165"/>
      <c r="R77" s="165"/>
      <c r="S77" s="165"/>
      <c r="T77" s="166"/>
      <c r="U77" s="166"/>
      <c r="V77" s="111"/>
      <c r="AC77" s="295"/>
      <c r="AD77" s="295"/>
      <c r="AE77" s="295"/>
      <c r="AF77" s="295"/>
      <c r="AG77" s="295"/>
      <c r="AH77" s="295"/>
      <c r="AI77" s="295"/>
      <c r="AJ77" s="295"/>
      <c r="AK77" s="295"/>
    </row>
    <row r="78" spans="1:37" s="298" customFormat="1" ht="25.5" customHeight="1" thickBot="1" x14ac:dyDescent="0.35">
      <c r="A78" s="111"/>
      <c r="B78" s="168"/>
      <c r="C78" s="291" t="s">
        <v>5</v>
      </c>
      <c r="D78" s="289"/>
      <c r="E78" s="294" t="s">
        <v>6</v>
      </c>
      <c r="F78" s="170"/>
      <c r="G78" s="170"/>
      <c r="H78" s="170"/>
      <c r="I78" s="170"/>
      <c r="J78" s="170"/>
      <c r="K78" s="170"/>
      <c r="L78" s="170"/>
      <c r="M78" s="170"/>
      <c r="N78" s="170"/>
      <c r="O78" s="165"/>
      <c r="P78" s="165"/>
      <c r="Q78" s="165"/>
      <c r="R78" s="165"/>
      <c r="S78" s="165"/>
      <c r="T78" s="166"/>
      <c r="U78" s="166"/>
      <c r="V78" s="111"/>
      <c r="AC78" s="299"/>
      <c r="AD78" s="299"/>
      <c r="AE78" s="299"/>
      <c r="AF78" s="299"/>
      <c r="AG78" s="299"/>
      <c r="AH78" s="299"/>
      <c r="AI78" s="299"/>
      <c r="AJ78" s="299"/>
      <c r="AK78" s="299"/>
    </row>
    <row r="79" spans="1:37" s="298" customFormat="1" ht="16.5" customHeight="1" x14ac:dyDescent="0.3">
      <c r="A79" s="111"/>
      <c r="B79" s="168"/>
      <c r="C79" s="186" t="s">
        <v>168</v>
      </c>
      <c r="D79" s="187"/>
      <c r="E79" s="188" t="s">
        <v>169</v>
      </c>
      <c r="F79" s="170"/>
      <c r="G79" s="170"/>
      <c r="H79" s="170"/>
      <c r="I79" s="170"/>
      <c r="J79" s="170"/>
      <c r="K79" s="170"/>
      <c r="L79" s="170"/>
      <c r="M79" s="170"/>
      <c r="N79" s="170"/>
      <c r="O79" s="165"/>
      <c r="P79" s="165"/>
      <c r="Q79" s="165"/>
      <c r="R79" s="165"/>
      <c r="S79" s="165"/>
      <c r="T79" s="166"/>
      <c r="U79" s="166"/>
      <c r="V79" s="111"/>
      <c r="AC79" s="295"/>
      <c r="AD79" s="295"/>
      <c r="AE79" s="295"/>
      <c r="AF79" s="295"/>
      <c r="AG79" s="295"/>
      <c r="AH79" s="295"/>
      <c r="AI79" s="295"/>
      <c r="AJ79" s="295"/>
      <c r="AK79" s="295"/>
    </row>
    <row r="80" spans="1:37" ht="16.5" customHeight="1" x14ac:dyDescent="0.3">
      <c r="A80" s="166"/>
      <c r="B80" s="168"/>
      <c r="C80" s="189" t="s">
        <v>174</v>
      </c>
      <c r="D80" s="190"/>
      <c r="E80" s="191" t="s">
        <v>167</v>
      </c>
      <c r="F80" s="170"/>
      <c r="G80" s="170"/>
      <c r="H80" s="170"/>
      <c r="I80" s="170"/>
      <c r="J80" s="170"/>
      <c r="K80" s="170"/>
      <c r="L80" s="170"/>
      <c r="M80" s="170"/>
      <c r="N80" s="170"/>
      <c r="O80" s="165"/>
      <c r="P80" s="165"/>
      <c r="Q80" s="165"/>
      <c r="R80" s="165"/>
      <c r="S80" s="165"/>
      <c r="T80" s="166"/>
      <c r="U80" s="166"/>
      <c r="V80" s="166"/>
    </row>
    <row r="81" spans="1:22" ht="16.5" customHeight="1" x14ac:dyDescent="0.3">
      <c r="A81" s="166"/>
      <c r="B81" s="168"/>
      <c r="C81" s="189" t="s">
        <v>172</v>
      </c>
      <c r="D81" s="190"/>
      <c r="E81" s="191" t="s">
        <v>14</v>
      </c>
      <c r="F81" s="170"/>
      <c r="G81" s="170"/>
      <c r="H81" s="170"/>
      <c r="I81" s="170"/>
      <c r="J81" s="170"/>
      <c r="K81" s="170"/>
      <c r="L81" s="170"/>
      <c r="M81" s="170"/>
      <c r="N81" s="170"/>
      <c r="O81" s="165"/>
      <c r="P81" s="165"/>
      <c r="Q81" s="165"/>
      <c r="R81" s="165"/>
      <c r="S81" s="165"/>
      <c r="T81" s="166"/>
      <c r="U81" s="166"/>
      <c r="V81" s="166"/>
    </row>
    <row r="82" spans="1:22" ht="16.5" customHeight="1" x14ac:dyDescent="0.3">
      <c r="A82" s="166"/>
      <c r="B82" s="168"/>
      <c r="C82" s="189" t="s">
        <v>171</v>
      </c>
      <c r="D82" s="190"/>
      <c r="E82" s="191" t="s">
        <v>170</v>
      </c>
      <c r="F82" s="170"/>
      <c r="G82" s="170"/>
      <c r="H82" s="170"/>
      <c r="I82" s="170"/>
      <c r="J82" s="170"/>
      <c r="K82" s="170"/>
      <c r="L82" s="170"/>
      <c r="M82" s="170"/>
      <c r="N82" s="170"/>
      <c r="O82" s="165"/>
      <c r="P82" s="165"/>
      <c r="Q82" s="165"/>
      <c r="R82" s="165"/>
      <c r="S82" s="165"/>
      <c r="T82" s="166"/>
      <c r="U82" s="166"/>
      <c r="V82" s="166"/>
    </row>
    <row r="83" spans="1:22" ht="16.5" customHeight="1" x14ac:dyDescent="0.3">
      <c r="A83" s="166"/>
      <c r="B83" s="168"/>
      <c r="C83" s="189" t="s">
        <v>175</v>
      </c>
      <c r="D83" s="190"/>
      <c r="E83" s="191" t="s">
        <v>13</v>
      </c>
      <c r="F83" s="170"/>
      <c r="G83" s="170"/>
      <c r="H83" s="170"/>
      <c r="I83" s="170"/>
      <c r="J83" s="170"/>
      <c r="K83" s="170"/>
      <c r="L83" s="170"/>
      <c r="M83" s="170"/>
      <c r="N83" s="170"/>
      <c r="O83" s="165"/>
      <c r="P83" s="165"/>
      <c r="Q83" s="165"/>
      <c r="R83" s="165"/>
      <c r="S83" s="165"/>
      <c r="T83" s="166"/>
      <c r="U83" s="166"/>
      <c r="V83" s="166"/>
    </row>
    <row r="84" spans="1:22" ht="16.5" customHeight="1" x14ac:dyDescent="0.3">
      <c r="A84" s="166"/>
      <c r="B84" s="168"/>
      <c r="C84" s="189" t="s">
        <v>173</v>
      </c>
      <c r="D84" s="190"/>
      <c r="E84" s="191" t="s">
        <v>50</v>
      </c>
      <c r="F84" s="170"/>
      <c r="G84" s="170"/>
      <c r="H84" s="170"/>
      <c r="I84" s="170"/>
      <c r="J84" s="170"/>
      <c r="K84" s="170"/>
      <c r="L84" s="170"/>
      <c r="M84" s="170"/>
      <c r="N84" s="170"/>
      <c r="O84" s="165"/>
      <c r="P84" s="165"/>
      <c r="Q84" s="165"/>
      <c r="R84" s="165"/>
      <c r="S84" s="165"/>
      <c r="T84" s="166"/>
      <c r="U84" s="166"/>
      <c r="V84" s="166"/>
    </row>
    <row r="85" spans="1:22" ht="16.5" customHeight="1" x14ac:dyDescent="0.3">
      <c r="A85" s="166"/>
      <c r="B85" s="168"/>
      <c r="C85" s="189" t="s">
        <v>9</v>
      </c>
      <c r="D85" s="190"/>
      <c r="E85" s="191" t="s">
        <v>12</v>
      </c>
      <c r="F85" s="170"/>
      <c r="G85" s="170"/>
      <c r="H85" s="170"/>
      <c r="I85" s="170"/>
      <c r="J85" s="170"/>
      <c r="K85" s="170"/>
      <c r="L85" s="170"/>
      <c r="M85" s="170"/>
      <c r="N85" s="170"/>
      <c r="O85" s="165"/>
      <c r="P85" s="165"/>
      <c r="Q85" s="165"/>
      <c r="R85" s="165"/>
      <c r="S85" s="165"/>
      <c r="T85" s="166"/>
      <c r="U85" s="166"/>
      <c r="V85" s="166"/>
    </row>
    <row r="86" spans="1:22" ht="16.5" customHeight="1" x14ac:dyDescent="0.3">
      <c r="A86" s="166"/>
      <c r="B86" s="168"/>
      <c r="C86" s="189" t="s">
        <v>7</v>
      </c>
      <c r="D86" s="190"/>
      <c r="E86" s="191" t="s">
        <v>10</v>
      </c>
      <c r="F86" s="170"/>
      <c r="G86" s="170"/>
      <c r="H86" s="170"/>
      <c r="I86" s="170"/>
      <c r="J86" s="170"/>
      <c r="K86" s="170"/>
      <c r="L86" s="170"/>
      <c r="M86" s="170"/>
      <c r="N86" s="170"/>
      <c r="O86" s="165"/>
      <c r="P86" s="165"/>
      <c r="Q86" s="165"/>
      <c r="R86" s="165"/>
      <c r="S86" s="165"/>
      <c r="T86" s="166"/>
      <c r="U86" s="166"/>
      <c r="V86" s="166"/>
    </row>
    <row r="87" spans="1:22" ht="16.5" customHeight="1" thickBot="1" x14ac:dyDescent="0.3">
      <c r="A87" s="166"/>
      <c r="B87" s="168"/>
      <c r="C87" s="192" t="s">
        <v>8</v>
      </c>
      <c r="D87" s="193"/>
      <c r="E87" s="194" t="s">
        <v>11</v>
      </c>
      <c r="F87" s="168"/>
      <c r="G87" s="168"/>
      <c r="H87" s="168"/>
      <c r="I87" s="168"/>
      <c r="J87" s="168"/>
      <c r="K87" s="168"/>
      <c r="L87" s="168"/>
      <c r="M87" s="168"/>
      <c r="N87" s="168"/>
      <c r="O87" s="166"/>
      <c r="P87" s="166"/>
      <c r="Q87" s="166"/>
      <c r="R87" s="166"/>
      <c r="S87" s="166"/>
      <c r="T87" s="166"/>
      <c r="U87" s="166"/>
      <c r="V87" s="166"/>
    </row>
    <row r="88" spans="1:22" x14ac:dyDescent="0.2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</row>
    <row r="89" spans="1:22" x14ac:dyDescent="0.2">
      <c r="A89" s="166"/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9" t="s">
        <v>141</v>
      </c>
      <c r="O89" s="369"/>
      <c r="P89" s="369"/>
      <c r="Q89" s="369"/>
      <c r="R89" s="369"/>
      <c r="S89" s="369"/>
      <c r="T89" s="369"/>
      <c r="U89" s="369"/>
      <c r="V89" s="166"/>
    </row>
    <row r="90" spans="1:22" x14ac:dyDescent="0.2">
      <c r="A90" s="166"/>
      <c r="B90" s="368"/>
      <c r="C90" s="368"/>
      <c r="D90" s="368"/>
      <c r="E90" s="368"/>
      <c r="F90" s="368"/>
      <c r="G90" s="368"/>
      <c r="H90" s="368"/>
      <c r="I90" s="368"/>
      <c r="J90" s="368"/>
      <c r="K90" s="368"/>
      <c r="L90" s="368"/>
      <c r="M90" s="368"/>
      <c r="N90" s="369"/>
      <c r="O90" s="369"/>
      <c r="P90" s="369"/>
      <c r="Q90" s="369"/>
      <c r="R90" s="369"/>
      <c r="S90" s="369"/>
      <c r="T90" s="369"/>
      <c r="U90" s="369"/>
      <c r="V90" s="166"/>
    </row>
    <row r="91" spans="1:22" x14ac:dyDescent="0.2">
      <c r="A91" s="166"/>
      <c r="B91" s="368"/>
      <c r="C91" s="368"/>
      <c r="D91" s="368"/>
      <c r="E91" s="368"/>
      <c r="F91" s="368"/>
      <c r="G91" s="368"/>
      <c r="H91" s="368"/>
      <c r="I91" s="368"/>
      <c r="J91" s="368"/>
      <c r="K91" s="368"/>
      <c r="L91" s="368"/>
      <c r="M91" s="368"/>
      <c r="N91" s="369"/>
      <c r="O91" s="369"/>
      <c r="P91" s="369"/>
      <c r="Q91" s="369"/>
      <c r="R91" s="369"/>
      <c r="S91" s="369"/>
      <c r="T91" s="369"/>
      <c r="U91" s="369"/>
      <c r="V91" s="166"/>
    </row>
    <row r="92" spans="1:22" x14ac:dyDescent="0.2">
      <c r="A92" s="166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8"/>
      <c r="N92" s="369"/>
      <c r="O92" s="369"/>
      <c r="P92" s="369"/>
      <c r="Q92" s="369"/>
      <c r="R92" s="369"/>
      <c r="S92" s="369"/>
      <c r="T92" s="369"/>
      <c r="U92" s="369"/>
      <c r="V92" s="166"/>
    </row>
    <row r="93" spans="1:22" x14ac:dyDescent="0.2">
      <c r="A93" s="16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8"/>
      <c r="N93" s="369"/>
      <c r="O93" s="369"/>
      <c r="P93" s="369"/>
      <c r="Q93" s="369"/>
      <c r="R93" s="369"/>
      <c r="S93" s="369"/>
      <c r="T93" s="369"/>
      <c r="U93" s="369"/>
      <c r="V93" s="166"/>
    </row>
    <row r="94" spans="1:22" x14ac:dyDescent="0.2">
      <c r="A94" s="166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9"/>
      <c r="O94" s="369"/>
      <c r="P94" s="369"/>
      <c r="Q94" s="369"/>
      <c r="R94" s="369"/>
      <c r="S94" s="369"/>
      <c r="T94" s="369"/>
      <c r="U94" s="369"/>
      <c r="V94" s="166"/>
    </row>
    <row r="95" spans="1:22" x14ac:dyDescent="0.2">
      <c r="A95" s="166"/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9"/>
      <c r="O95" s="369"/>
      <c r="P95" s="369"/>
      <c r="Q95" s="369"/>
      <c r="R95" s="369"/>
      <c r="S95" s="369"/>
      <c r="T95" s="369"/>
      <c r="U95" s="369"/>
      <c r="V95" s="166"/>
    </row>
  </sheetData>
  <sortState xmlns:xlrd2="http://schemas.microsoft.com/office/spreadsheetml/2017/richdata2" ref="C79:E87">
    <sortCondition ref="C79:C87"/>
  </sortState>
  <mergeCells count="30">
    <mergeCell ref="N89:U95"/>
    <mergeCell ref="B89:M95"/>
    <mergeCell ref="M22:N22"/>
    <mergeCell ref="Q8:R8"/>
    <mergeCell ref="Q10:R10"/>
    <mergeCell ref="N8:O8"/>
    <mergeCell ref="N10:O10"/>
    <mergeCell ref="N12:O12"/>
    <mergeCell ref="N14:O14"/>
    <mergeCell ref="N16:O16"/>
    <mergeCell ref="L24:M24"/>
    <mergeCell ref="J16:L16"/>
    <mergeCell ref="J18:L18"/>
    <mergeCell ref="N18:O18"/>
    <mergeCell ref="M20:N20"/>
    <mergeCell ref="G16:H16"/>
    <mergeCell ref="B2:U2"/>
    <mergeCell ref="B3:U3"/>
    <mergeCell ref="F8:H8"/>
    <mergeCell ref="F10:H10"/>
    <mergeCell ref="C12:E12"/>
    <mergeCell ref="G12:H12"/>
    <mergeCell ref="L26:M26"/>
    <mergeCell ref="C29:E29"/>
    <mergeCell ref="C34:E34"/>
    <mergeCell ref="G14:H14"/>
    <mergeCell ref="F18:H18"/>
    <mergeCell ref="F20:H20"/>
    <mergeCell ref="F22:H22"/>
    <mergeCell ref="F26:H26"/>
  </mergeCells>
  <dataValidations count="2">
    <dataValidation type="list" allowBlank="1" showInputMessage="1" showErrorMessage="1" sqref="C12:E12" xr:uid="{7C9429BD-0872-4437-B0F3-F06550DD37C9}">
      <formula1>$AD$6:$AD$8</formula1>
    </dataValidation>
    <dataValidation type="list" allowBlank="1" showInputMessage="1" showErrorMessage="1" sqref="S8 S10" xr:uid="{FBDEEBFE-B2E7-4BFD-BAF6-CFAAA36571C9}">
      <formula1>$E$79:$E$87</formula1>
    </dataValidation>
  </dataValidations>
  <hyperlinks>
    <hyperlink ref="C73" r:id="rId1" xr:uid="{59BBBF02-1951-4655-9C29-55B6558ED803}"/>
    <hyperlink ref="J73" r:id="rId2" xr:uid="{2D71CDCE-D40E-4BCD-B7A4-30F7A822B801}"/>
  </hyperlinks>
  <printOptions horizontalCentered="1" verticalCentered="1"/>
  <pageMargins left="0.25" right="0.25" top="0.75" bottom="0.5" header="0.5" footer="0.5"/>
  <pageSetup paperSize="9" orientation="portrait" horizontalDpi="4294967292" verticalDpi="4294967292" r:id="rId3"/>
  <headerFooter alignWithMargins="0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8"/>
  <sheetViews>
    <sheetView workbookViewId="0">
      <selection activeCell="B23" sqref="B23"/>
    </sheetView>
  </sheetViews>
  <sheetFormatPr defaultColWidth="8.6328125" defaultRowHeight="12.6" x14ac:dyDescent="0.2"/>
  <cols>
    <col min="1" max="1" width="20.90625" style="10" customWidth="1"/>
    <col min="2" max="11" width="10.08984375" style="9" customWidth="1"/>
    <col min="12" max="16384" width="8.6328125" style="10"/>
  </cols>
  <sheetData>
    <row r="1" spans="1:11" ht="22.2" x14ac:dyDescent="0.35">
      <c r="A1" s="8" t="s">
        <v>30</v>
      </c>
    </row>
    <row r="2" spans="1:11" x14ac:dyDescent="0.2">
      <c r="A2" s="10" t="s">
        <v>33</v>
      </c>
    </row>
    <row r="4" spans="1:11" ht="26.25" customHeight="1" x14ac:dyDescent="0.4">
      <c r="A4" s="19" t="s">
        <v>35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">
      <c r="D5" s="9" t="s">
        <v>27</v>
      </c>
    </row>
    <row r="7" spans="1:11" ht="16.2" x14ac:dyDescent="0.3">
      <c r="A7" s="20" t="s">
        <v>16</v>
      </c>
      <c r="B7" s="5" t="e">
        <f>#REF!</f>
        <v>#REF!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6.2" x14ac:dyDescent="0.3">
      <c r="A8" s="20" t="s">
        <v>28</v>
      </c>
      <c r="B8" s="6" t="e">
        <f>#REF!</f>
        <v>#REF!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ht="16.2" x14ac:dyDescent="0.3">
      <c r="A9" s="20" t="s">
        <v>40</v>
      </c>
      <c r="B9" s="6" t="e">
        <f>#REF!</f>
        <v>#REF!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s="16" customFormat="1" ht="16.2" x14ac:dyDescent="0.3">
      <c r="A10" s="15" t="s">
        <v>15</v>
      </c>
      <c r="B10" s="15" t="e">
        <f>#REF!+1</f>
        <v>#REF!</v>
      </c>
      <c r="C10" s="15" t="e">
        <f>B10+1</f>
        <v>#REF!</v>
      </c>
      <c r="D10" s="15" t="e">
        <f t="shared" ref="D10:K10" si="0">C10+1</f>
        <v>#REF!</v>
      </c>
      <c r="E10" s="15" t="e">
        <f t="shared" si="0"/>
        <v>#REF!</v>
      </c>
      <c r="F10" s="15" t="e">
        <f t="shared" si="0"/>
        <v>#REF!</v>
      </c>
      <c r="G10" s="15" t="e">
        <f t="shared" si="0"/>
        <v>#REF!</v>
      </c>
      <c r="H10" s="15" t="e">
        <f t="shared" si="0"/>
        <v>#REF!</v>
      </c>
      <c r="I10" s="15" t="e">
        <f t="shared" si="0"/>
        <v>#REF!</v>
      </c>
      <c r="J10" s="15" t="e">
        <f t="shared" si="0"/>
        <v>#REF!</v>
      </c>
      <c r="K10" s="15" t="e">
        <f t="shared" si="0"/>
        <v>#REF!</v>
      </c>
    </row>
    <row r="11" spans="1:11" ht="16.2" x14ac:dyDescent="0.3">
      <c r="A11" s="17" t="s">
        <v>19</v>
      </c>
      <c r="B11" s="21" t="e">
        <f>B7*(1+B8)</f>
        <v>#REF!</v>
      </c>
      <c r="C11" s="21" t="e">
        <f>B11*(1+B8)</f>
        <v>#REF!</v>
      </c>
      <c r="D11" s="21" t="e">
        <f>C11*(1+B8)</f>
        <v>#REF!</v>
      </c>
      <c r="E11" s="21" t="e">
        <f>D11*(1+B8)</f>
        <v>#REF!</v>
      </c>
      <c r="F11" s="21" t="e">
        <f>E11*(1+B8)</f>
        <v>#REF!</v>
      </c>
      <c r="G11" s="21" t="e">
        <f>F11*(1+B8)</f>
        <v>#REF!</v>
      </c>
      <c r="H11" s="21" t="e">
        <f>G11*(1+B8)</f>
        <v>#REF!</v>
      </c>
      <c r="I11" s="21" t="e">
        <f>H11*(1+B8)</f>
        <v>#REF!</v>
      </c>
      <c r="J11" s="21" t="e">
        <f>I11*(1+B8)</f>
        <v>#REF!</v>
      </c>
      <c r="K11" s="21" t="e">
        <f>J11*(1+B8)</f>
        <v>#REF!</v>
      </c>
    </row>
    <row r="12" spans="1:11" ht="16.2" x14ac:dyDescent="0.3">
      <c r="A12" s="22" t="s">
        <v>17</v>
      </c>
      <c r="B12" s="23" t="e">
        <f>1/(1+$B$9)</f>
        <v>#REF!</v>
      </c>
      <c r="C12" s="23" t="e">
        <f>B12/(1+$B$9)</f>
        <v>#REF!</v>
      </c>
      <c r="D12" s="23" t="e">
        <f t="shared" ref="D12:K12" si="1">C12/(1+$B$9)</f>
        <v>#REF!</v>
      </c>
      <c r="E12" s="23" t="e">
        <f t="shared" si="1"/>
        <v>#REF!</v>
      </c>
      <c r="F12" s="23" t="e">
        <f t="shared" si="1"/>
        <v>#REF!</v>
      </c>
      <c r="G12" s="23" t="e">
        <f t="shared" si="1"/>
        <v>#REF!</v>
      </c>
      <c r="H12" s="23" t="e">
        <f t="shared" si="1"/>
        <v>#REF!</v>
      </c>
      <c r="I12" s="23" t="e">
        <f t="shared" si="1"/>
        <v>#REF!</v>
      </c>
      <c r="J12" s="23" t="e">
        <f t="shared" si="1"/>
        <v>#REF!</v>
      </c>
      <c r="K12" s="23" t="e">
        <f t="shared" si="1"/>
        <v>#REF!</v>
      </c>
    </row>
    <row r="13" spans="1:11" ht="16.2" x14ac:dyDescent="0.3">
      <c r="A13" s="24" t="s">
        <v>18</v>
      </c>
      <c r="B13" s="25" t="e">
        <f t="shared" ref="B13:K13" si="2">B11*B12</f>
        <v>#REF!</v>
      </c>
      <c r="C13" s="25" t="e">
        <f t="shared" si="2"/>
        <v>#REF!</v>
      </c>
      <c r="D13" s="25" t="e">
        <f t="shared" si="2"/>
        <v>#REF!</v>
      </c>
      <c r="E13" s="25" t="e">
        <f t="shared" si="2"/>
        <v>#REF!</v>
      </c>
      <c r="F13" s="25" t="e">
        <f t="shared" si="2"/>
        <v>#REF!</v>
      </c>
      <c r="G13" s="25" t="e">
        <f t="shared" si="2"/>
        <v>#REF!</v>
      </c>
      <c r="H13" s="25" t="e">
        <f t="shared" si="2"/>
        <v>#REF!</v>
      </c>
      <c r="I13" s="25" t="e">
        <f t="shared" si="2"/>
        <v>#REF!</v>
      </c>
      <c r="J13" s="25" t="e">
        <f t="shared" si="2"/>
        <v>#REF!</v>
      </c>
      <c r="K13" s="25" t="e">
        <f t="shared" si="2"/>
        <v>#REF!</v>
      </c>
    </row>
    <row r="14" spans="1:11" ht="16.2" x14ac:dyDescent="0.3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6.2" x14ac:dyDescent="0.3">
      <c r="A15" s="33" t="s">
        <v>41</v>
      </c>
      <c r="B15" s="34" t="e">
        <f>SUM(B13:K13)</f>
        <v>#REF!</v>
      </c>
      <c r="D15" s="13"/>
      <c r="E15" s="13"/>
      <c r="F15" s="13"/>
      <c r="G15" s="13"/>
      <c r="H15" s="13"/>
      <c r="I15" s="13"/>
      <c r="J15" s="13"/>
      <c r="K15" s="13"/>
    </row>
    <row r="17" spans="1:9" ht="16.2" x14ac:dyDescent="0.3">
      <c r="A17" s="27" t="s">
        <v>20</v>
      </c>
      <c r="B17" s="28"/>
      <c r="C17" s="28"/>
      <c r="D17" s="28"/>
      <c r="E17" s="28"/>
      <c r="F17" s="28"/>
      <c r="G17" s="28"/>
      <c r="H17" s="28"/>
      <c r="I17" s="29"/>
    </row>
    <row r="18" spans="1:9" ht="16.2" x14ac:dyDescent="0.3">
      <c r="A18" s="30" t="s">
        <v>21</v>
      </c>
      <c r="B18" s="31"/>
      <c r="C18" s="31"/>
      <c r="D18" s="31"/>
      <c r="E18" s="31"/>
      <c r="F18" s="31"/>
      <c r="G18" s="31"/>
      <c r="H18" s="31"/>
      <c r="I18" s="32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3"/>
  <sheetViews>
    <sheetView workbookViewId="0">
      <selection activeCell="C26" sqref="C26"/>
    </sheetView>
  </sheetViews>
  <sheetFormatPr defaultColWidth="11" defaultRowHeight="12.6" x14ac:dyDescent="0.2"/>
  <cols>
    <col min="1" max="1" width="27" style="10" customWidth="1"/>
    <col min="2" max="2" width="14.453125" style="9" customWidth="1"/>
    <col min="3" max="3" width="15.08984375" style="9" customWidth="1"/>
    <col min="4" max="4" width="13.90625" style="9" customWidth="1"/>
    <col min="5" max="11" width="14" style="9" bestFit="1" customWidth="1"/>
    <col min="12" max="16384" width="11" style="10"/>
  </cols>
  <sheetData>
    <row r="1" spans="1:11" ht="22.2" x14ac:dyDescent="0.35">
      <c r="A1" s="8" t="s">
        <v>30</v>
      </c>
    </row>
    <row r="2" spans="1:11" x14ac:dyDescent="0.2">
      <c r="A2" s="10" t="s">
        <v>33</v>
      </c>
    </row>
    <row r="4" spans="1:11" ht="26.25" customHeight="1" x14ac:dyDescent="0.4">
      <c r="A4" s="393" t="s">
        <v>34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</row>
    <row r="5" spans="1:11" x14ac:dyDescent="0.2">
      <c r="D5" s="9" t="s">
        <v>26</v>
      </c>
    </row>
    <row r="7" spans="1:11" ht="16.2" x14ac:dyDescent="0.3">
      <c r="A7" s="391" t="s">
        <v>31</v>
      </c>
      <c r="B7" s="392"/>
      <c r="C7" s="3" t="str">
        <f>'VMI Calculator (10 years)'!F12</f>
        <v>USD$</v>
      </c>
      <c r="D7" s="12" t="s">
        <v>32</v>
      </c>
      <c r="E7" s="13"/>
      <c r="F7" s="13"/>
      <c r="G7" s="13"/>
      <c r="H7" s="13"/>
      <c r="I7" s="13"/>
      <c r="J7" s="13"/>
      <c r="K7" s="13"/>
    </row>
    <row r="8" spans="1:11" ht="16.2" x14ac:dyDescent="0.3">
      <c r="A8" s="391" t="s">
        <v>22</v>
      </c>
      <c r="B8" s="392"/>
      <c r="C8" s="4">
        <f>'VMI Calculator (10 years)'!F20</f>
        <v>0.11</v>
      </c>
      <c r="D8" s="1"/>
      <c r="E8" s="2"/>
      <c r="F8" s="2"/>
      <c r="G8" s="2"/>
      <c r="H8" s="2"/>
      <c r="I8" s="2"/>
      <c r="J8" s="2"/>
      <c r="K8" s="2"/>
    </row>
    <row r="9" spans="1:11" ht="16.2" x14ac:dyDescent="0.3">
      <c r="A9" s="400" t="s">
        <v>40</v>
      </c>
      <c r="B9" s="401"/>
      <c r="C9" s="6">
        <f>'VMI Calculator (10 years)'!L26</f>
        <v>6.0999999999999999E-2</v>
      </c>
      <c r="D9" s="14"/>
      <c r="E9" s="14"/>
      <c r="F9" s="14"/>
      <c r="G9" s="14"/>
      <c r="H9" s="14"/>
      <c r="I9" s="14"/>
      <c r="J9" s="14"/>
      <c r="K9" s="14"/>
    </row>
    <row r="11" spans="1:11" ht="16.2" x14ac:dyDescent="0.3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s="16" customFormat="1" ht="16.2" x14ac:dyDescent="0.3">
      <c r="A12" s="15" t="s">
        <v>15</v>
      </c>
      <c r="B12" s="15">
        <f ca="1">'VMI Calculator (10 years)'!L24+1</f>
        <v>2023</v>
      </c>
      <c r="C12" s="15">
        <f ca="1">B12+1</f>
        <v>2024</v>
      </c>
      <c r="D12" s="15">
        <f t="shared" ref="D12:K12" ca="1" si="0">C12+1</f>
        <v>2025</v>
      </c>
      <c r="E12" s="15">
        <f t="shared" ca="1" si="0"/>
        <v>2026</v>
      </c>
      <c r="F12" s="15">
        <f t="shared" ca="1" si="0"/>
        <v>2027</v>
      </c>
      <c r="G12" s="15">
        <f t="shared" ca="1" si="0"/>
        <v>2028</v>
      </c>
      <c r="H12" s="15">
        <f t="shared" ca="1" si="0"/>
        <v>2029</v>
      </c>
      <c r="I12" s="15">
        <f t="shared" ca="1" si="0"/>
        <v>2030</v>
      </c>
      <c r="J12" s="15">
        <f t="shared" ca="1" si="0"/>
        <v>2031</v>
      </c>
      <c r="K12" s="15">
        <f t="shared" ca="1" si="0"/>
        <v>2032</v>
      </c>
    </row>
    <row r="13" spans="1:11" s="43" customFormat="1" ht="16.2" x14ac:dyDescent="0.2">
      <c r="A13" s="41" t="s">
        <v>36</v>
      </c>
      <c r="B13" s="42" t="e">
        <f>C7*(1+C8)</f>
        <v>#VALUE!</v>
      </c>
      <c r="C13" s="42" t="e">
        <f>B13*(1+$C$8)</f>
        <v>#VALUE!</v>
      </c>
      <c r="D13" s="42" t="e">
        <f t="shared" ref="D13:K13" si="1">C13*(1+$C$8)</f>
        <v>#VALUE!</v>
      </c>
      <c r="E13" s="42" t="e">
        <f t="shared" si="1"/>
        <v>#VALUE!</v>
      </c>
      <c r="F13" s="42" t="e">
        <f t="shared" si="1"/>
        <v>#VALUE!</v>
      </c>
      <c r="G13" s="42" t="e">
        <f t="shared" si="1"/>
        <v>#VALUE!</v>
      </c>
      <c r="H13" s="42" t="e">
        <f t="shared" si="1"/>
        <v>#VALUE!</v>
      </c>
      <c r="I13" s="42" t="e">
        <f t="shared" si="1"/>
        <v>#VALUE!</v>
      </c>
      <c r="J13" s="42" t="e">
        <f t="shared" si="1"/>
        <v>#VALUE!</v>
      </c>
      <c r="K13" s="42" t="e">
        <f t="shared" si="1"/>
        <v>#VALUE!</v>
      </c>
    </row>
    <row r="14" spans="1:11" s="43" customFormat="1" ht="16.2" x14ac:dyDescent="0.2">
      <c r="A14" s="44" t="s">
        <v>17</v>
      </c>
      <c r="B14" s="45">
        <f>1/(1+$C$9)</f>
        <v>0.94250706880301605</v>
      </c>
      <c r="C14" s="45">
        <f>B14/(1+$C$9)</f>
        <v>0.8883195747436532</v>
      </c>
      <c r="D14" s="45">
        <f t="shared" ref="D14:K14" si="2">C14/(1+$C$9)</f>
        <v>0.83724747855198234</v>
      </c>
      <c r="E14" s="45">
        <f t="shared" si="2"/>
        <v>0.78911166687274492</v>
      </c>
      <c r="F14" s="45">
        <f t="shared" si="2"/>
        <v>0.74374332410249289</v>
      </c>
      <c r="G14" s="45">
        <f t="shared" si="2"/>
        <v>0.70098334034165211</v>
      </c>
      <c r="H14" s="45">
        <f t="shared" si="2"/>
        <v>0.66068175338515756</v>
      </c>
      <c r="I14" s="45">
        <f t="shared" si="2"/>
        <v>0.62269722279468198</v>
      </c>
      <c r="J14" s="45">
        <f t="shared" si="2"/>
        <v>0.58689653420799437</v>
      </c>
      <c r="K14" s="45">
        <f t="shared" si="2"/>
        <v>0.5531541321470258</v>
      </c>
    </row>
    <row r="15" spans="1:11" s="43" customFormat="1" ht="16.2" x14ac:dyDescent="0.2">
      <c r="A15" s="46" t="s">
        <v>18</v>
      </c>
      <c r="B15" s="47" t="e">
        <f t="shared" ref="B15:K15" si="3">B13*B14</f>
        <v>#VALUE!</v>
      </c>
      <c r="C15" s="47" t="e">
        <f t="shared" si="3"/>
        <v>#VALUE!</v>
      </c>
      <c r="D15" s="47" t="e">
        <f t="shared" si="3"/>
        <v>#VALUE!</v>
      </c>
      <c r="E15" s="47" t="e">
        <f t="shared" si="3"/>
        <v>#VALUE!</v>
      </c>
      <c r="F15" s="47" t="e">
        <f t="shared" si="3"/>
        <v>#VALUE!</v>
      </c>
      <c r="G15" s="47" t="e">
        <f t="shared" si="3"/>
        <v>#VALUE!</v>
      </c>
      <c r="H15" s="47" t="e">
        <f t="shared" si="3"/>
        <v>#VALUE!</v>
      </c>
      <c r="I15" s="47" t="e">
        <f t="shared" si="3"/>
        <v>#VALUE!</v>
      </c>
      <c r="J15" s="47" t="e">
        <f t="shared" si="3"/>
        <v>#VALUE!</v>
      </c>
      <c r="K15" s="47" t="e">
        <f t="shared" si="3"/>
        <v>#VALUE!</v>
      </c>
    </row>
    <row r="16" spans="1:11" ht="16.2" x14ac:dyDescent="0.3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6.2" x14ac:dyDescent="0.3">
      <c r="A17" s="398" t="s">
        <v>24</v>
      </c>
      <c r="B17" s="399"/>
      <c r="C17" s="7">
        <f>'VMI Calculator (10 years)'!F26</f>
        <v>290.89999999999998</v>
      </c>
      <c r="D17" s="18" t="s">
        <v>32</v>
      </c>
    </row>
    <row r="18" spans="1:11" ht="16.8" thickBot="1" x14ac:dyDescent="0.35">
      <c r="A18" s="37"/>
      <c r="B18" s="38"/>
      <c r="C18" s="35"/>
      <c r="D18" s="36"/>
    </row>
    <row r="19" spans="1:11" ht="20.25" customHeight="1" thickBot="1" x14ac:dyDescent="0.35">
      <c r="A19" s="394" t="s">
        <v>23</v>
      </c>
      <c r="B19" s="395"/>
      <c r="C19" s="40" t="e">
        <f>B15+C15+D15+E15+F15+G15+H15+I15+J15+K15</f>
        <v>#VALUE!</v>
      </c>
      <c r="D19" s="39" t="s">
        <v>32</v>
      </c>
      <c r="E19" s="13"/>
      <c r="F19" s="13"/>
      <c r="G19" s="13"/>
      <c r="H19" s="13"/>
      <c r="I19" s="13"/>
      <c r="J19" s="13"/>
      <c r="K19" s="13"/>
    </row>
    <row r="20" spans="1:11" ht="20.25" customHeight="1" thickBot="1" x14ac:dyDescent="0.25">
      <c r="A20" s="396" t="s">
        <v>25</v>
      </c>
      <c r="B20" s="397"/>
      <c r="C20" s="402" t="e">
        <f>C19/C17</f>
        <v>#VALUE!</v>
      </c>
      <c r="D20" s="403"/>
    </row>
    <row r="22" spans="1:11" ht="16.2" x14ac:dyDescent="0.3">
      <c r="A22" s="385" t="s">
        <v>29</v>
      </c>
      <c r="B22" s="386"/>
      <c r="C22" s="386"/>
      <c r="D22" s="386"/>
      <c r="E22" s="386"/>
      <c r="F22" s="386"/>
      <c r="G22" s="386"/>
      <c r="H22" s="386"/>
      <c r="I22" s="386"/>
      <c r="J22" s="387"/>
    </row>
    <row r="23" spans="1:11" ht="16.2" x14ac:dyDescent="0.3">
      <c r="A23" s="388" t="s">
        <v>21</v>
      </c>
      <c r="B23" s="389"/>
      <c r="C23" s="389"/>
      <c r="D23" s="389"/>
      <c r="E23" s="389"/>
      <c r="F23" s="389"/>
      <c r="G23" s="389"/>
      <c r="H23" s="389"/>
      <c r="I23" s="389"/>
      <c r="J23" s="390"/>
    </row>
  </sheetData>
  <mergeCells count="10">
    <mergeCell ref="A22:J22"/>
    <mergeCell ref="A23:J23"/>
    <mergeCell ref="A7:B7"/>
    <mergeCell ref="A8:B8"/>
    <mergeCell ref="A4:K4"/>
    <mergeCell ref="A19:B19"/>
    <mergeCell ref="A20:B20"/>
    <mergeCell ref="A17:B17"/>
    <mergeCell ref="A9:B9"/>
    <mergeCell ref="C20:D20"/>
  </mergeCell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174"/>
  <sheetViews>
    <sheetView zoomScale="70" zoomScaleNormal="70" workbookViewId="0"/>
  </sheetViews>
  <sheetFormatPr defaultColWidth="15.90625" defaultRowHeight="15.6" outlineLevelRow="1" outlineLevelCol="1" x14ac:dyDescent="0.3"/>
  <cols>
    <col min="1" max="1" width="3.08984375" style="49" customWidth="1"/>
    <col min="2" max="4" width="20" style="49" customWidth="1"/>
    <col min="5" max="5" width="20" style="50" customWidth="1"/>
    <col min="6" max="6" width="5.08984375" style="49" customWidth="1"/>
    <col min="7" max="10" width="20" style="49" customWidth="1" outlineLevel="1"/>
    <col min="11" max="11" width="5.08984375" style="49" customWidth="1"/>
    <col min="12" max="15" width="20" style="49" customWidth="1" outlineLevel="1"/>
    <col min="16" max="16" width="5.08984375" style="49" customWidth="1"/>
    <col min="17" max="20" width="20" style="49" customWidth="1" outlineLevel="1"/>
    <col min="21" max="21" width="5.08984375" style="49" customWidth="1"/>
    <col min="22" max="25" width="20" style="49" customWidth="1" outlineLevel="1"/>
    <col min="26" max="26" width="5.08984375" style="49" customWidth="1"/>
    <col min="27" max="16384" width="15.90625" style="49"/>
  </cols>
  <sheetData>
    <row r="1" spans="2:24" ht="23.4" x14ac:dyDescent="0.45">
      <c r="B1" s="74" t="s">
        <v>74</v>
      </c>
      <c r="C1" s="73"/>
      <c r="I1" s="63"/>
      <c r="J1" s="63"/>
      <c r="K1" s="64"/>
      <c r="L1" s="59"/>
      <c r="M1" s="62"/>
      <c r="N1" s="61"/>
      <c r="Q1" s="59"/>
      <c r="R1" s="62"/>
      <c r="S1" s="61"/>
      <c r="V1" s="59"/>
      <c r="W1" s="62"/>
      <c r="X1" s="61"/>
    </row>
    <row r="2" spans="2:24" ht="21" x14ac:dyDescent="0.4">
      <c r="B2" s="404" t="s">
        <v>73</v>
      </c>
      <c r="C2" s="404"/>
      <c r="D2" s="404"/>
      <c r="E2" s="404"/>
      <c r="F2" s="72"/>
      <c r="G2" s="72"/>
      <c r="H2" s="72"/>
      <c r="I2" s="72"/>
      <c r="J2" s="72"/>
      <c r="N2" s="61"/>
      <c r="S2" s="61"/>
      <c r="X2" s="61"/>
    </row>
    <row r="4" spans="2:24" s="67" customFormat="1" ht="25.2" x14ac:dyDescent="0.45">
      <c r="B4" s="210" t="s">
        <v>72</v>
      </c>
      <c r="E4" s="70"/>
    </row>
    <row r="5" spans="2:24" outlineLevel="1" x14ac:dyDescent="0.3"/>
    <row r="6" spans="2:24" outlineLevel="1" x14ac:dyDescent="0.3"/>
    <row r="7" spans="2:24" outlineLevel="1" x14ac:dyDescent="0.3"/>
    <row r="8" spans="2:24" outlineLevel="1" x14ac:dyDescent="0.3"/>
    <row r="9" spans="2:24" outlineLevel="1" x14ac:dyDescent="0.3"/>
    <row r="10" spans="2:24" outlineLevel="1" x14ac:dyDescent="0.3"/>
    <row r="11" spans="2:24" outlineLevel="1" x14ac:dyDescent="0.3"/>
    <row r="12" spans="2:24" outlineLevel="1" x14ac:dyDescent="0.3"/>
    <row r="13" spans="2:24" outlineLevel="1" x14ac:dyDescent="0.3"/>
    <row r="14" spans="2:24" outlineLevel="1" x14ac:dyDescent="0.3"/>
    <row r="15" spans="2:24" outlineLevel="1" x14ac:dyDescent="0.3"/>
    <row r="16" spans="2:24" outlineLevel="1" x14ac:dyDescent="0.3"/>
    <row r="17" outlineLevel="1" x14ac:dyDescent="0.3"/>
    <row r="18" outlineLevel="1" x14ac:dyDescent="0.3"/>
    <row r="19" outlineLevel="1" x14ac:dyDescent="0.3"/>
    <row r="20" outlineLevel="1" x14ac:dyDescent="0.3"/>
    <row r="21" outlineLevel="1" x14ac:dyDescent="0.3"/>
    <row r="22" outlineLevel="1" x14ac:dyDescent="0.3"/>
    <row r="23" outlineLevel="1" x14ac:dyDescent="0.3"/>
    <row r="24" outlineLevel="1" x14ac:dyDescent="0.3"/>
    <row r="25" outlineLevel="1" x14ac:dyDescent="0.3"/>
    <row r="26" outlineLevel="1" x14ac:dyDescent="0.3"/>
    <row r="27" outlineLevel="1" x14ac:dyDescent="0.3"/>
    <row r="28" outlineLevel="1" x14ac:dyDescent="0.3"/>
    <row r="29" outlineLevel="1" x14ac:dyDescent="0.3"/>
    <row r="30" outlineLevel="1" x14ac:dyDescent="0.3"/>
    <row r="31" outlineLevel="1" x14ac:dyDescent="0.3"/>
    <row r="32" outlineLevel="1" x14ac:dyDescent="0.3"/>
    <row r="33" spans="2:25" outlineLevel="1" x14ac:dyDescent="0.3"/>
    <row r="34" spans="2:25" outlineLevel="1" x14ac:dyDescent="0.3"/>
    <row r="35" spans="2:25" outlineLevel="1" x14ac:dyDescent="0.3"/>
    <row r="36" spans="2:25" outlineLevel="1" x14ac:dyDescent="0.3"/>
    <row r="37" spans="2:25" outlineLevel="1" x14ac:dyDescent="0.3"/>
    <row r="38" spans="2:25" outlineLevel="1" x14ac:dyDescent="0.3"/>
    <row r="39" spans="2:25" outlineLevel="1" x14ac:dyDescent="0.3"/>
    <row r="40" spans="2:25" outlineLevel="1" x14ac:dyDescent="0.3"/>
    <row r="41" spans="2:25" outlineLevel="1" x14ac:dyDescent="0.3"/>
    <row r="45" spans="2:25" s="67" customFormat="1" ht="25.2" x14ac:dyDescent="0.45">
      <c r="B45" s="210" t="s">
        <v>71</v>
      </c>
      <c r="C45" s="58"/>
      <c r="E45" s="70"/>
      <c r="I45" s="69"/>
      <c r="J45" s="69"/>
      <c r="N45" s="68"/>
      <c r="S45" s="68"/>
      <c r="X45" s="68"/>
    </row>
    <row r="46" spans="2:25" s="215" customFormat="1" ht="35.25" customHeight="1" outlineLevel="1" x14ac:dyDescent="0.2">
      <c r="B46" s="214" t="s">
        <v>57</v>
      </c>
      <c r="C46" s="214"/>
      <c r="E46" s="216"/>
      <c r="G46" s="214" t="s">
        <v>63</v>
      </c>
      <c r="J46" s="216"/>
      <c r="L46" s="214" t="s">
        <v>62</v>
      </c>
      <c r="O46" s="216"/>
      <c r="Q46" s="214" t="s">
        <v>61</v>
      </c>
      <c r="T46" s="216"/>
      <c r="V46" s="214" t="s">
        <v>60</v>
      </c>
      <c r="Y46" s="216"/>
    </row>
    <row r="47" spans="2:25" s="66" customFormat="1" ht="35.25" customHeight="1" outlineLevel="1" x14ac:dyDescent="0.2">
      <c r="B47" s="211" t="s">
        <v>70</v>
      </c>
      <c r="C47" s="211" t="s">
        <v>66</v>
      </c>
      <c r="D47" s="211" t="s">
        <v>65</v>
      </c>
      <c r="E47" s="212" t="s">
        <v>64</v>
      </c>
      <c r="G47" s="211" t="s">
        <v>70</v>
      </c>
      <c r="H47" s="211" t="s">
        <v>66</v>
      </c>
      <c r="I47" s="211" t="s">
        <v>65</v>
      </c>
      <c r="J47" s="212" t="s">
        <v>64</v>
      </c>
      <c r="L47" s="211" t="s">
        <v>70</v>
      </c>
      <c r="M47" s="211" t="s">
        <v>66</v>
      </c>
      <c r="N47" s="211" t="s">
        <v>65</v>
      </c>
      <c r="O47" s="212" t="s">
        <v>64</v>
      </c>
      <c r="Q47" s="211" t="s">
        <v>70</v>
      </c>
      <c r="R47" s="211" t="s">
        <v>66</v>
      </c>
      <c r="S47" s="211" t="s">
        <v>65</v>
      </c>
      <c r="T47" s="212" t="s">
        <v>64</v>
      </c>
      <c r="V47" s="211" t="s">
        <v>70</v>
      </c>
      <c r="W47" s="211" t="s">
        <v>66</v>
      </c>
      <c r="X47" s="211" t="s">
        <v>65</v>
      </c>
      <c r="Y47" s="212" t="s">
        <v>64</v>
      </c>
    </row>
    <row r="48" spans="2:25" s="65" customFormat="1" ht="35.25" customHeight="1" outlineLevel="1" x14ac:dyDescent="0.2">
      <c r="B48" s="57" t="s">
        <v>54</v>
      </c>
      <c r="C48" s="56">
        <f>COUNTIFS(_TrackerTable[Category],_USDashboardTable56[[#This Row],[Category]])</f>
        <v>0</v>
      </c>
      <c r="D48" s="55">
        <f>SUMIFS(_TrackerTable[Market Value
(in USD)],_TrackerTable[Category],_USDashboardTable56[[#This Row],[Category]])</f>
        <v>0</v>
      </c>
      <c r="E48" s="54">
        <f>IF(_USDashboardTable56[[#Totals],[Market Value (in USD)]]&gt;0,_USDashboardTable56[[#This Row],[Market Value (in USD)]]/_USDashboardTable56[[#Totals],[Market Value (in USD)]],0)</f>
        <v>0</v>
      </c>
      <c r="G48" s="57" t="s">
        <v>54</v>
      </c>
      <c r="H48" s="56">
        <f>COUNTIFS(_TrackerTable[Country],G$46,_TrackerTable[Category],_USDashboardTable[[#This Row],[Category]])</f>
        <v>0</v>
      </c>
      <c r="I48" s="55">
        <f>SUMIFS(_TrackerTable[Market Value
(in USD)],_TrackerTable[Country],G$46,_TrackerTable[Category],_USDashboardTable[[#This Row],[Category]])</f>
        <v>0</v>
      </c>
      <c r="J48" s="54">
        <f>IF(_USDashboardTable[[#Totals],[Market Value (in USD)]]&gt;0,_USDashboardTable[[#This Row],[Market Value (in USD)]]/_USDashboardTable[[#Totals],[Market Value (in USD)]],0)</f>
        <v>0</v>
      </c>
      <c r="L48" s="57" t="s">
        <v>54</v>
      </c>
      <c r="M48" s="56">
        <f>COUNTIFS(_TrackerTable[Country],L$46,_TrackerTable[Category],_USDashboardTable5[[#This Row],[Category]])</f>
        <v>0</v>
      </c>
      <c r="N48" s="55">
        <f>SUMIFS(_TrackerTable[Market Value
(in USD)],_TrackerTable[Country],L$46,_TrackerTable[Category],_USDashboardTable5[[#This Row],[Category]])</f>
        <v>0</v>
      </c>
      <c r="O48" s="54">
        <f>IF(_USDashboardTable5[[#Totals],[Market Value (in USD)]]&gt;0,_USDashboardTable5[[#This Row],[Market Value (in USD)]]/_USDashboardTable5[[#Totals],[Market Value (in USD)]],0)</f>
        <v>0</v>
      </c>
      <c r="Q48" s="57" t="s">
        <v>54</v>
      </c>
      <c r="R48" s="56">
        <f>COUNTIFS(_TrackerTable[Country],Q$46,_TrackerTable[Category],_USDashboardTable57[[#This Row],[Category]])</f>
        <v>0</v>
      </c>
      <c r="S48" s="55">
        <f>SUMIFS(_TrackerTable[Market Value
(in USD)],_TrackerTable[Country],Q$46,_TrackerTable[Category],_USDashboardTable57[[#This Row],[Category]])</f>
        <v>0</v>
      </c>
      <c r="T48" s="54">
        <f>IF(_USDashboardTable57[[#Totals],[Market Value (in USD)]]&gt;0,_USDashboardTable57[[#This Row],[Market Value (in USD)]]/_USDashboardTable57[[#Totals],[Market Value (in USD)]],0)</f>
        <v>0</v>
      </c>
      <c r="V48" s="57" t="s">
        <v>54</v>
      </c>
      <c r="W48" s="56">
        <f>COUNTIFS(_TrackerTable[Country],V$46,_TrackerTable[Category],_USDashboardTable5714[[#This Row],[Category]])</f>
        <v>0</v>
      </c>
      <c r="X48" s="55">
        <f>SUMIFS(_TrackerTable[Market Value
(in USD)],_TrackerTable[Country],V$46,_TrackerTable[Category],_USDashboardTable5714[[#This Row],[Category]])</f>
        <v>0</v>
      </c>
      <c r="Y48" s="54">
        <f>IF(_USDashboardTable5714[[#Totals],[Market Value (in USD)]]&gt;0,_USDashboardTable5714[[#This Row],[Market Value (in USD)]]/_USDashboardTable5714[[#Totals],[Market Value (in USD)]],0)</f>
        <v>0</v>
      </c>
    </row>
    <row r="49" spans="2:25" s="65" customFormat="1" ht="35.25" customHeight="1" outlineLevel="1" x14ac:dyDescent="0.2">
      <c r="B49" s="57" t="s">
        <v>69</v>
      </c>
      <c r="C49" s="56">
        <f>COUNTIFS(_TrackerTable[Category],_USDashboardTable56[[#This Row],[Category]])</f>
        <v>0</v>
      </c>
      <c r="D49" s="55">
        <f>SUMIFS(_TrackerTable[Market Value
(in USD)],_TrackerTable[Category],_USDashboardTable56[[#This Row],[Category]])</f>
        <v>0</v>
      </c>
      <c r="E49" s="54">
        <f>IF(_USDashboardTable56[[#Totals],[Market Value (in USD)]]&gt;0,_USDashboardTable56[[#This Row],[Market Value (in USD)]]/_USDashboardTable56[[#Totals],[Market Value (in USD)]],0)</f>
        <v>0</v>
      </c>
      <c r="G49" s="57" t="s">
        <v>69</v>
      </c>
      <c r="H49" s="56">
        <f>COUNTIFS(_TrackerTable[Country],G$46,_TrackerTable[Category],_USDashboardTable[[#This Row],[Category]])</f>
        <v>0</v>
      </c>
      <c r="I49" s="55">
        <f>SUMIFS(_TrackerTable[Market Value
(in USD)],_TrackerTable[Country],G$46,_TrackerTable[Category],_USDashboardTable[[#This Row],[Category]])</f>
        <v>0</v>
      </c>
      <c r="J49" s="54">
        <f>IF(_USDashboardTable[[#Totals],[Market Value (in USD)]]&gt;0,_USDashboardTable[[#This Row],[Market Value (in USD)]]/_USDashboardTable[[#Totals],[Market Value (in USD)]],0)</f>
        <v>0</v>
      </c>
      <c r="L49" s="57" t="s">
        <v>69</v>
      </c>
      <c r="M49" s="56">
        <f>COUNTIFS(_TrackerTable[Country],L$46,_TrackerTable[Category],_USDashboardTable5[[#This Row],[Category]])</f>
        <v>0</v>
      </c>
      <c r="N49" s="55">
        <f>SUMIFS(_TrackerTable[Market Value
(in USD)],_TrackerTable[Country],L$46,_TrackerTable[Category],_USDashboardTable5[[#This Row],[Category]])</f>
        <v>0</v>
      </c>
      <c r="O49" s="54">
        <f>IF(_USDashboardTable5[[#Totals],[Market Value (in USD)]]&gt;0,_USDashboardTable5[[#This Row],[Market Value (in USD)]]/_USDashboardTable5[[#Totals],[Market Value (in USD)]],0)</f>
        <v>0</v>
      </c>
      <c r="Q49" s="57" t="s">
        <v>69</v>
      </c>
      <c r="R49" s="56">
        <f>COUNTIFS(_TrackerTable[Country],Q$46,_TrackerTable[Category],_USDashboardTable57[[#This Row],[Category]])</f>
        <v>0</v>
      </c>
      <c r="S49" s="55">
        <f>SUMIFS(_TrackerTable[Market Value
(in USD)],_TrackerTable[Country],Q$46,_TrackerTable[Category],_USDashboardTable57[[#This Row],[Category]])</f>
        <v>0</v>
      </c>
      <c r="T49" s="54">
        <f>IF(_USDashboardTable57[[#Totals],[Market Value (in USD)]]&gt;0,_USDashboardTable57[[#This Row],[Market Value (in USD)]]/_USDashboardTable57[[#Totals],[Market Value (in USD)]],0)</f>
        <v>0</v>
      </c>
      <c r="V49" s="57" t="s">
        <v>69</v>
      </c>
      <c r="W49" s="56">
        <f>COUNTIFS(_TrackerTable[Country],V$46,_TrackerTable[Category],_USDashboardTable5714[[#This Row],[Category]])</f>
        <v>0</v>
      </c>
      <c r="X49" s="55">
        <f>SUMIFS(_TrackerTable[Market Value
(in USD)],_TrackerTable[Country],V$46,_TrackerTable[Category],_USDashboardTable5714[[#This Row],[Category]])</f>
        <v>0</v>
      </c>
      <c r="Y49" s="54">
        <f>IF(_USDashboardTable5714[[#Totals],[Market Value (in USD)]]&gt;0,_USDashboardTable5714[[#This Row],[Market Value (in USD)]]/_USDashboardTable5714[[#Totals],[Market Value (in USD)]],0)</f>
        <v>0</v>
      </c>
    </row>
    <row r="50" spans="2:25" s="65" customFormat="1" ht="35.25" customHeight="1" outlineLevel="1" x14ac:dyDescent="0.2">
      <c r="B50" s="57" t="s">
        <v>107</v>
      </c>
      <c r="C50" s="56">
        <f>COUNTIFS(_TrackerTable[Category],_USDashboardTable56[[#This Row],[Category]])</f>
        <v>1</v>
      </c>
      <c r="D50" s="55">
        <f>SUMIFS(_TrackerTable[Market Value
(in USD)],_TrackerTable[Category],_USDashboardTable56[[#This Row],[Category]])</f>
        <v>2348.4848484848485</v>
      </c>
      <c r="E50" s="54">
        <f>IF(_USDashboardTable56[[#Totals],[Market Value (in USD)]]&gt;0,_USDashboardTable56[[#This Row],[Market Value (in USD)]]/_USDashboardTable56[[#Totals],[Market Value (in USD)]],0)</f>
        <v>0.33233542607222033</v>
      </c>
      <c r="G50" s="57" t="s">
        <v>107</v>
      </c>
      <c r="H50" s="56">
        <f>COUNTIFS(_TrackerTable[Country],G$46,_TrackerTable[Category],_USDashboardTable[[#This Row],[Category]])</f>
        <v>0</v>
      </c>
      <c r="I50" s="55">
        <f>SUMIFS(_TrackerTable[Market Value
(in USD)],_TrackerTable[Country],G$46,_TrackerTable[Category],_USDashboardTable[[#This Row],[Category]])</f>
        <v>0</v>
      </c>
      <c r="J50" s="54">
        <f>IF(_USDashboardTable[[#Totals],[Market Value (in USD)]]&gt;0,_USDashboardTable[[#This Row],[Market Value (in USD)]]/_USDashboardTable[[#Totals],[Market Value (in USD)]],0)</f>
        <v>0</v>
      </c>
      <c r="L50" s="57" t="s">
        <v>107</v>
      </c>
      <c r="M50" s="56">
        <f>COUNTIFS(_TrackerTable[Country],L$46,_TrackerTable[Category],_USDashboardTable5[[#This Row],[Category]])</f>
        <v>0</v>
      </c>
      <c r="N50" s="55">
        <f>SUMIFS(_TrackerTable[Market Value
(in USD)],_TrackerTable[Country],L$46,_TrackerTable[Category],_USDashboardTable5[[#This Row],[Category]])</f>
        <v>0</v>
      </c>
      <c r="O50" s="54">
        <f>IF(_USDashboardTable5[[#Totals],[Market Value (in USD)]]&gt;0,_USDashboardTable5[[#This Row],[Market Value (in USD)]]/_USDashboardTable5[[#Totals],[Market Value (in USD)]],0)</f>
        <v>0</v>
      </c>
      <c r="Q50" s="57" t="s">
        <v>107</v>
      </c>
      <c r="R50" s="56">
        <f>COUNTIFS(_TrackerTable[Country],Q$46,_TrackerTable[Category],_USDashboardTable57[[#This Row],[Category]])</f>
        <v>0</v>
      </c>
      <c r="S50" s="55">
        <f>SUMIFS(_TrackerTable[Market Value
(in USD)],_TrackerTable[Country],Q$46,_TrackerTable[Category],_USDashboardTable57[[#This Row],[Category]])</f>
        <v>0</v>
      </c>
      <c r="T50" s="54">
        <f>IF(_USDashboardTable57[[#Totals],[Market Value (in USD)]]&gt;0,_USDashboardTable57[[#This Row],[Market Value (in USD)]]/_USDashboardTable57[[#Totals],[Market Value (in USD)]],0)</f>
        <v>0</v>
      </c>
      <c r="V50" s="57" t="s">
        <v>107</v>
      </c>
      <c r="W50" s="56">
        <f>COUNTIFS(_TrackerTable[Country],V$46,_TrackerTable[Category],_USDashboardTable5714[[#This Row],[Category]])</f>
        <v>1</v>
      </c>
      <c r="X50" s="55">
        <f>SUMIFS(_TrackerTable[Market Value
(in USD)],_TrackerTable[Country],V$46,_TrackerTable[Category],_USDashboardTable5714[[#This Row],[Category]])</f>
        <v>2348.4848484848485</v>
      </c>
      <c r="Y50" s="54">
        <f>IF(_USDashboardTable5714[[#Totals],[Market Value (in USD)]]&gt;0,_USDashboardTable5714[[#This Row],[Market Value (in USD)]]/_USDashboardTable5714[[#Totals],[Market Value (in USD)]],0)</f>
        <v>1</v>
      </c>
    </row>
    <row r="51" spans="2:25" s="65" customFormat="1" ht="35.25" customHeight="1" outlineLevel="1" x14ac:dyDescent="0.2">
      <c r="B51" s="57" t="s">
        <v>53</v>
      </c>
      <c r="C51" s="56">
        <f>COUNTIFS(_TrackerTable[Category],_USDashboardTable56[[#This Row],[Category]])</f>
        <v>2</v>
      </c>
      <c r="D51" s="55">
        <f>SUMIFS(_TrackerTable[Market Value
(in USD)],_TrackerTable[Category],_USDashboardTable56[[#This Row],[Category]])</f>
        <v>2841.7251612903228</v>
      </c>
      <c r="E51" s="54">
        <f>IF(_USDashboardTable56[[#Totals],[Market Value (in USD)]]&gt;0,_USDashboardTable56[[#This Row],[Market Value (in USD)]]/_USDashboardTable56[[#Totals],[Market Value (in USD)]],0)</f>
        <v>0.40213414315483559</v>
      </c>
      <c r="G51" s="57" t="s">
        <v>53</v>
      </c>
      <c r="H51" s="56">
        <f>COUNTIFS(_TrackerTable[Country],G$46,_TrackerTable[Category],_USDashboardTable[[#This Row],[Category]])</f>
        <v>0</v>
      </c>
      <c r="I51" s="55">
        <f>SUMIFS(_TrackerTable[Market Value
(in USD)],_TrackerTable[Country],G$46,_TrackerTable[Category],_USDashboardTable[[#This Row],[Category]])</f>
        <v>0</v>
      </c>
      <c r="J51" s="54">
        <f>IF(_USDashboardTable[[#Totals],[Market Value (in USD)]]&gt;0,_USDashboardTable[[#This Row],[Market Value (in USD)]]/_USDashboardTable[[#Totals],[Market Value (in USD)]],0)</f>
        <v>0</v>
      </c>
      <c r="L51" s="57" t="s">
        <v>53</v>
      </c>
      <c r="M51" s="56">
        <f>COUNTIFS(_TrackerTable[Country],L$46,_TrackerTable[Category],_USDashboardTable5[[#This Row],[Category]])</f>
        <v>1</v>
      </c>
      <c r="N51" s="55">
        <f>SUMIFS(_TrackerTable[Market Value
(in USD)],_TrackerTable[Country],L$46,_TrackerTable[Category],_USDashboardTable5[[#This Row],[Category]])</f>
        <v>1621.08</v>
      </c>
      <c r="O51" s="54">
        <f>IF(_USDashboardTable5[[#Totals],[Market Value (in USD)]]&gt;0,_USDashboardTable5[[#This Row],[Market Value (in USD)]]/_USDashboardTable5[[#Totals],[Market Value (in USD)]],0)</f>
        <v>1</v>
      </c>
      <c r="Q51" s="57" t="s">
        <v>53</v>
      </c>
      <c r="R51" s="56">
        <f>COUNTIFS(_TrackerTable[Country],Q$46,_TrackerTable[Category],_USDashboardTable57[[#This Row],[Category]])</f>
        <v>1</v>
      </c>
      <c r="S51" s="55">
        <f>SUMIFS(_TrackerTable[Market Value
(in USD)],_TrackerTable[Country],Q$46,_TrackerTable[Category],_USDashboardTable57[[#This Row],[Category]])</f>
        <v>1220.6451612903227</v>
      </c>
      <c r="T51" s="54">
        <f>IF(_USDashboardTable57[[#Totals],[Market Value (in USD)]]&gt;0,_USDashboardTable57[[#This Row],[Market Value (in USD)]]/_USDashboardTable57[[#Totals],[Market Value (in USD)]],0)</f>
        <v>1</v>
      </c>
      <c r="V51" s="57" t="s">
        <v>53</v>
      </c>
      <c r="W51" s="56">
        <f>COUNTIFS(_TrackerTable[Country],V$46,_TrackerTable[Category],_USDashboardTable5714[[#This Row],[Category]])</f>
        <v>0</v>
      </c>
      <c r="X51" s="55">
        <f>SUMIFS(_TrackerTable[Market Value
(in USD)],_TrackerTable[Country],V$46,_TrackerTable[Category],_USDashboardTable5714[[#This Row],[Category]])</f>
        <v>0</v>
      </c>
      <c r="Y51" s="54">
        <f>IF(_USDashboardTable5714[[#Totals],[Market Value (in USD)]]&gt;0,_USDashboardTable5714[[#This Row],[Market Value (in USD)]]/_USDashboardTable5714[[#Totals],[Market Value (in USD)]],0)</f>
        <v>0</v>
      </c>
    </row>
    <row r="52" spans="2:25" s="65" customFormat="1" ht="35.25" customHeight="1" outlineLevel="1" x14ac:dyDescent="0.2">
      <c r="B52" s="57" t="s">
        <v>176</v>
      </c>
      <c r="C52" s="56">
        <f>COUNTIFS(_TrackerTable[Category],_USDashboardTable56[[#This Row],[Category]])</f>
        <v>1</v>
      </c>
      <c r="D52" s="55">
        <f>SUMIFS(_TrackerTable[Market Value
(in USD)],_TrackerTable[Category],_USDashboardTable56[[#This Row],[Category]])</f>
        <v>1876.4</v>
      </c>
      <c r="E52" s="54">
        <f>IF(_USDashboardTable56[[#Totals],[Market Value (in USD)]]&gt;0,_USDashboardTable56[[#This Row],[Market Value (in USD)]]/_USDashboardTable56[[#Totals],[Market Value (in USD)]],0)</f>
        <v>0.26553043077294414</v>
      </c>
      <c r="G52" s="57" t="s">
        <v>176</v>
      </c>
      <c r="H52" s="56">
        <f>COUNTIFS(_TrackerTable[Country],G$46,_TrackerTable[Category],_USDashboardTable[[#This Row],[Category]])</f>
        <v>1</v>
      </c>
      <c r="I52" s="55">
        <f>SUMIFS(_TrackerTable[Market Value
(in USD)],_TrackerTable[Country],G$46,_TrackerTable[Category],_USDashboardTable[[#This Row],[Category]])</f>
        <v>1876.4</v>
      </c>
      <c r="J52" s="54">
        <f>IF(_USDashboardTable[[#Totals],[Market Value (in USD)]]&gt;0,_USDashboardTable[[#This Row],[Market Value (in USD)]]/_USDashboardTable[[#Totals],[Market Value (in USD)]],0)</f>
        <v>1</v>
      </c>
      <c r="L52" s="57" t="s">
        <v>176</v>
      </c>
      <c r="M52" s="56">
        <f>COUNTIFS(_TrackerTable[Country],L$46,_TrackerTable[Category],_USDashboardTable5[[#This Row],[Category]])</f>
        <v>0</v>
      </c>
      <c r="N52" s="55">
        <f>SUMIFS(_TrackerTable[Market Value
(in USD)],_TrackerTable[Country],L$46,_TrackerTable[Category],_USDashboardTable5[[#This Row],[Category]])</f>
        <v>0</v>
      </c>
      <c r="O52" s="54">
        <f>IF(_USDashboardTable5[[#Totals],[Market Value (in USD)]]&gt;0,_USDashboardTable5[[#This Row],[Market Value (in USD)]]/_USDashboardTable5[[#Totals],[Market Value (in USD)]],0)</f>
        <v>0</v>
      </c>
      <c r="Q52" s="57" t="s">
        <v>176</v>
      </c>
      <c r="R52" s="56">
        <f>COUNTIFS(_TrackerTable[Country],Q$46,_TrackerTable[Category],_USDashboardTable57[[#This Row],[Category]])</f>
        <v>0</v>
      </c>
      <c r="S52" s="55">
        <f>SUMIFS(_TrackerTable[Market Value
(in USD)],_TrackerTable[Country],Q$46,_TrackerTable[Category],_USDashboardTable57[[#This Row],[Category]])</f>
        <v>0</v>
      </c>
      <c r="T52" s="54">
        <f>IF(_USDashboardTable57[[#Totals],[Market Value (in USD)]]&gt;0,_USDashboardTable57[[#This Row],[Market Value (in USD)]]/_USDashboardTable57[[#Totals],[Market Value (in USD)]],0)</f>
        <v>0</v>
      </c>
      <c r="V52" s="57" t="s">
        <v>176</v>
      </c>
      <c r="W52" s="56">
        <f>COUNTIFS(_TrackerTable[Country],V$46,_TrackerTable[Category],_USDashboardTable5714[[#This Row],[Category]])</f>
        <v>0</v>
      </c>
      <c r="X52" s="55">
        <f>SUMIFS(_TrackerTable[Market Value
(in USD)],_TrackerTable[Country],V$46,_TrackerTable[Category],_USDashboardTable5714[[#This Row],[Category]])</f>
        <v>0</v>
      </c>
      <c r="Y52" s="54">
        <f>IF(_USDashboardTable5714[[#Totals],[Market Value (in USD)]]&gt;0,_USDashboardTable5714[[#This Row],[Market Value (in USD)]]/_USDashboardTable5714[[#Totals],[Market Value (in USD)]],0)</f>
        <v>0</v>
      </c>
    </row>
    <row r="53" spans="2:25" s="65" customFormat="1" ht="35.25" customHeight="1" outlineLevel="1" x14ac:dyDescent="0.2">
      <c r="B53" s="57" t="s">
        <v>52</v>
      </c>
      <c r="C53" s="56">
        <f>COUNTIFS(_TrackerTable[Category],_USDashboardTable56[[#This Row],[Category]])</f>
        <v>0</v>
      </c>
      <c r="D53" s="55">
        <f>SUMIFS(_TrackerTable[Market Value
(in USD)],_TrackerTable[Category],_USDashboardTable56[[#This Row],[Category]])</f>
        <v>0</v>
      </c>
      <c r="E53" s="54">
        <f>IF(_USDashboardTable56[[#Totals],[Market Value (in USD)]]&gt;0,_USDashboardTable56[[#This Row],[Market Value (in USD)]]/_USDashboardTable56[[#Totals],[Market Value (in USD)]],0)</f>
        <v>0</v>
      </c>
      <c r="G53" s="57" t="s">
        <v>52</v>
      </c>
      <c r="H53" s="56">
        <f>COUNTIFS(_TrackerTable[Country],G$46,_TrackerTable[Category],_USDashboardTable[[#This Row],[Category]])</f>
        <v>0</v>
      </c>
      <c r="I53" s="55">
        <f>SUMIFS(_TrackerTable[Market Value
(in USD)],_TrackerTable[Country],G$46,_TrackerTable[Category],_USDashboardTable[[#This Row],[Category]])</f>
        <v>0</v>
      </c>
      <c r="J53" s="54">
        <f>IF(_USDashboardTable[[#Totals],[Market Value (in USD)]]&gt;0,_USDashboardTable[[#This Row],[Market Value (in USD)]]/_USDashboardTable[[#Totals],[Market Value (in USD)]],0)</f>
        <v>0</v>
      </c>
      <c r="L53" s="57" t="s">
        <v>52</v>
      </c>
      <c r="M53" s="56">
        <f>COUNTIFS(_TrackerTable[Country],L$46,_TrackerTable[Category],_USDashboardTable5[[#This Row],[Category]])</f>
        <v>0</v>
      </c>
      <c r="N53" s="55">
        <f>SUMIFS(_TrackerTable[Market Value
(in USD)],_TrackerTable[Country],L$46,_TrackerTable[Category],_USDashboardTable5[[#This Row],[Category]])</f>
        <v>0</v>
      </c>
      <c r="O53" s="54">
        <f>IF(_USDashboardTable5[[#Totals],[Market Value (in USD)]]&gt;0,_USDashboardTable5[[#This Row],[Market Value (in USD)]]/_USDashboardTable5[[#Totals],[Market Value (in USD)]],0)</f>
        <v>0</v>
      </c>
      <c r="Q53" s="57" t="s">
        <v>52</v>
      </c>
      <c r="R53" s="56">
        <f>COUNTIFS(_TrackerTable[Country],Q$46,_TrackerTable[Category],_USDashboardTable57[[#This Row],[Category]])</f>
        <v>0</v>
      </c>
      <c r="S53" s="55">
        <f>SUMIFS(_TrackerTable[Market Value
(in USD)],_TrackerTable[Country],Q$46,_TrackerTable[Category],_USDashboardTable57[[#This Row],[Category]])</f>
        <v>0</v>
      </c>
      <c r="T53" s="54">
        <f>IF(_USDashboardTable57[[#Totals],[Market Value (in USD)]]&gt;0,_USDashboardTable57[[#This Row],[Market Value (in USD)]]/_USDashboardTable57[[#Totals],[Market Value (in USD)]],0)</f>
        <v>0</v>
      </c>
      <c r="V53" s="57" t="s">
        <v>52</v>
      </c>
      <c r="W53" s="56">
        <f>COUNTIFS(_TrackerTable[Country],V$46,_TrackerTable[Category],_USDashboardTable5714[[#This Row],[Category]])</f>
        <v>0</v>
      </c>
      <c r="X53" s="55">
        <f>SUMIFS(_TrackerTable[Market Value
(in USD)],_TrackerTable[Country],V$46,_TrackerTable[Category],_USDashboardTable5714[[#This Row],[Category]])</f>
        <v>0</v>
      </c>
      <c r="Y53" s="54">
        <f>IF(_USDashboardTable5714[[#Totals],[Market Value (in USD)]]&gt;0,_USDashboardTable5714[[#This Row],[Market Value (in USD)]]/_USDashboardTable5714[[#Totals],[Market Value (in USD)]],0)</f>
        <v>0</v>
      </c>
    </row>
    <row r="54" spans="2:25" s="65" customFormat="1" ht="35.25" customHeight="1" outlineLevel="1" x14ac:dyDescent="0.2">
      <c r="B54" s="57" t="s">
        <v>177</v>
      </c>
      <c r="C54" s="56">
        <f>COUNTIFS(_TrackerTable[Category],_USDashboardTable56[[#This Row],[Category]])</f>
        <v>0</v>
      </c>
      <c r="D54" s="55">
        <f>SUMIFS(_TrackerTable[Market Value
(in USD)],_TrackerTable[Category],_USDashboardTable56[[#This Row],[Category]])</f>
        <v>0</v>
      </c>
      <c r="E54" s="54">
        <f>IF(_USDashboardTable56[[#Totals],[Market Value (in USD)]]&gt;0,_USDashboardTable56[[#This Row],[Market Value (in USD)]]/_USDashboardTable56[[#Totals],[Market Value (in USD)]],0)</f>
        <v>0</v>
      </c>
      <c r="G54" s="57" t="s">
        <v>177</v>
      </c>
      <c r="H54" s="56">
        <f>COUNTIFS(_TrackerTable[Country],G$46,_TrackerTable[Category],_USDashboardTable[[#This Row],[Category]])</f>
        <v>0</v>
      </c>
      <c r="I54" s="55">
        <f>SUMIFS(_TrackerTable[Market Value
(in USD)],_TrackerTable[Country],G$46,_TrackerTable[Category],_USDashboardTable[[#This Row],[Category]])</f>
        <v>0</v>
      </c>
      <c r="J54" s="54">
        <f>IF(_USDashboardTable[[#Totals],[Market Value (in USD)]]&gt;0,_USDashboardTable[[#This Row],[Market Value (in USD)]]/_USDashboardTable[[#Totals],[Market Value (in USD)]],0)</f>
        <v>0</v>
      </c>
      <c r="L54" s="57" t="s">
        <v>177</v>
      </c>
      <c r="M54" s="56">
        <f>COUNTIFS(_TrackerTable[Country],L$46,_TrackerTable[Category],_USDashboardTable5[[#This Row],[Category]])</f>
        <v>0</v>
      </c>
      <c r="N54" s="55">
        <f>SUMIFS(_TrackerTable[Market Value
(in USD)],_TrackerTable[Country],L$46,_TrackerTable[Category],_USDashboardTable5[[#This Row],[Category]])</f>
        <v>0</v>
      </c>
      <c r="O54" s="54">
        <f>IF(_USDashboardTable5[[#Totals],[Market Value (in USD)]]&gt;0,_USDashboardTable5[[#This Row],[Market Value (in USD)]]/_USDashboardTable5[[#Totals],[Market Value (in USD)]],0)</f>
        <v>0</v>
      </c>
      <c r="Q54" s="57" t="s">
        <v>177</v>
      </c>
      <c r="R54" s="56">
        <f>COUNTIFS(_TrackerTable[Country],Q$46,_TrackerTable[Category],_USDashboardTable57[[#This Row],[Category]])</f>
        <v>0</v>
      </c>
      <c r="S54" s="55">
        <f>SUMIFS(_TrackerTable[Market Value
(in USD)],_TrackerTable[Country],Q$46,_TrackerTable[Category],_USDashboardTable57[[#This Row],[Category]])</f>
        <v>0</v>
      </c>
      <c r="T54" s="54">
        <f>IF(_USDashboardTable57[[#Totals],[Market Value (in USD)]]&gt;0,_USDashboardTable57[[#This Row],[Market Value (in USD)]]/_USDashboardTable57[[#Totals],[Market Value (in USD)]],0)</f>
        <v>0</v>
      </c>
      <c r="V54" s="57" t="s">
        <v>177</v>
      </c>
      <c r="W54" s="56">
        <f>COUNTIFS(_TrackerTable[Country],V$46,_TrackerTable[Category],_USDashboardTable5714[[#This Row],[Category]])</f>
        <v>0</v>
      </c>
      <c r="X54" s="55">
        <f>SUMIFS(_TrackerTable[Market Value
(in USD)],_TrackerTable[Country],V$46,_TrackerTable[Category],_USDashboardTable5714[[#This Row],[Category]])</f>
        <v>0</v>
      </c>
      <c r="Y54" s="54">
        <f>IF(_USDashboardTable5714[[#Totals],[Market Value (in USD)]]&gt;0,_USDashboardTable5714[[#This Row],[Market Value (in USD)]]/_USDashboardTable5714[[#Totals],[Market Value (in USD)]],0)</f>
        <v>0</v>
      </c>
    </row>
    <row r="55" spans="2:25" s="65" customFormat="1" ht="35.25" customHeight="1" outlineLevel="1" x14ac:dyDescent="0.2">
      <c r="B55" s="57" t="s">
        <v>178</v>
      </c>
      <c r="C55" s="56">
        <f>COUNTIFS(_TrackerTable[Category],_USDashboardTable56[[#This Row],[Category]])</f>
        <v>0</v>
      </c>
      <c r="D55" s="55">
        <f>SUMIFS(_TrackerTable[Market Value
(in USD)],_TrackerTable[Category],_USDashboardTable56[[#This Row],[Category]])</f>
        <v>0</v>
      </c>
      <c r="E55" s="54">
        <f>IF(_USDashboardTable56[[#Totals],[Market Value (in USD)]]&gt;0,_USDashboardTable56[[#This Row],[Market Value (in USD)]]/_USDashboardTable56[[#Totals],[Market Value (in USD)]],0)</f>
        <v>0</v>
      </c>
      <c r="G55" s="57" t="s">
        <v>178</v>
      </c>
      <c r="H55" s="56">
        <f>COUNTIFS(_TrackerTable[Country],G$46,_TrackerTable[Category],_USDashboardTable[[#This Row],[Category]])</f>
        <v>0</v>
      </c>
      <c r="I55" s="55">
        <f>SUMIFS(_TrackerTable[Market Value
(in USD)],_TrackerTable[Country],G$46,_TrackerTable[Category],_USDashboardTable[[#This Row],[Category]])</f>
        <v>0</v>
      </c>
      <c r="J55" s="54">
        <f>IF(_USDashboardTable[[#Totals],[Market Value (in USD)]]&gt;0,_USDashboardTable[[#This Row],[Market Value (in USD)]]/_USDashboardTable[[#Totals],[Market Value (in USD)]],0)</f>
        <v>0</v>
      </c>
      <c r="L55" s="57" t="s">
        <v>178</v>
      </c>
      <c r="M55" s="56">
        <f>COUNTIFS(_TrackerTable[Country],L$46,_TrackerTable[Category],_USDashboardTable5[[#This Row],[Category]])</f>
        <v>0</v>
      </c>
      <c r="N55" s="55">
        <f>SUMIFS(_TrackerTable[Market Value
(in USD)],_TrackerTable[Country],L$46,_TrackerTable[Category],_USDashboardTable5[[#This Row],[Category]])</f>
        <v>0</v>
      </c>
      <c r="O55" s="54">
        <f>IF(_USDashboardTable5[[#Totals],[Market Value (in USD)]]&gt;0,_USDashboardTable5[[#This Row],[Market Value (in USD)]]/_USDashboardTable5[[#Totals],[Market Value (in USD)]],0)</f>
        <v>0</v>
      </c>
      <c r="Q55" s="57" t="s">
        <v>178</v>
      </c>
      <c r="R55" s="56">
        <f>COUNTIFS(_TrackerTable[Country],Q$46,_TrackerTable[Category],_USDashboardTable57[[#This Row],[Category]])</f>
        <v>0</v>
      </c>
      <c r="S55" s="55">
        <f>SUMIFS(_TrackerTable[Market Value
(in USD)],_TrackerTable[Country],Q$46,_TrackerTable[Category],_USDashboardTable57[[#This Row],[Category]])</f>
        <v>0</v>
      </c>
      <c r="T55" s="54">
        <f>IF(_USDashboardTable57[[#Totals],[Market Value (in USD)]]&gt;0,_USDashboardTable57[[#This Row],[Market Value (in USD)]]/_USDashboardTable57[[#Totals],[Market Value (in USD)]],0)</f>
        <v>0</v>
      </c>
      <c r="V55" s="57" t="s">
        <v>178</v>
      </c>
      <c r="W55" s="56">
        <f>COUNTIFS(_TrackerTable[Country],V$46,_TrackerTable[Category],_USDashboardTable5714[[#This Row],[Category]])</f>
        <v>0</v>
      </c>
      <c r="X55" s="55">
        <f>SUMIFS(_TrackerTable[Market Value
(in USD)],_TrackerTable[Country],V$46,_TrackerTable[Category],_USDashboardTable5714[[#This Row],[Category]])</f>
        <v>0</v>
      </c>
      <c r="Y55" s="54">
        <f>IF(_USDashboardTable5714[[#Totals],[Market Value (in USD)]]&gt;0,_USDashboardTable5714[[#This Row],[Market Value (in USD)]]/_USDashboardTable5714[[#Totals],[Market Value (in USD)]],0)</f>
        <v>0</v>
      </c>
    </row>
    <row r="56" spans="2:25" ht="35.25" customHeight="1" outlineLevel="1" x14ac:dyDescent="0.3">
      <c r="B56" s="333" t="s">
        <v>57</v>
      </c>
      <c r="C56" s="333">
        <f>SUBTOTAL(109,_USDashboardTable56[Count])</f>
        <v>4</v>
      </c>
      <c r="D56" s="334">
        <f>SUBTOTAL(109,_USDashboardTable56[Market Value (in USD)])</f>
        <v>7066.6100097751714</v>
      </c>
      <c r="E56" s="335">
        <f>SUBTOTAL(109,_USDashboardTable56[Percentage by Market Value])</f>
        <v>1</v>
      </c>
      <c r="G56" s="333" t="s">
        <v>57</v>
      </c>
      <c r="H56" s="333">
        <f>SUBTOTAL(109,_USDashboardTable[Count])</f>
        <v>1</v>
      </c>
      <c r="I56" s="334">
        <f>SUBTOTAL(109,_USDashboardTable[Market Value (in USD)])</f>
        <v>1876.4</v>
      </c>
      <c r="J56" s="335">
        <f>SUBTOTAL(109,_USDashboardTable[Percentage by Market Value])</f>
        <v>1</v>
      </c>
      <c r="K56" s="64"/>
      <c r="L56" s="333" t="s">
        <v>57</v>
      </c>
      <c r="M56" s="333">
        <f>SUBTOTAL(109,_USDashboardTable5[Count])</f>
        <v>1</v>
      </c>
      <c r="N56" s="334">
        <f>SUBTOTAL(109,_USDashboardTable5[Market Value (in USD)])</f>
        <v>1621.08</v>
      </c>
      <c r="O56" s="335">
        <f>SUBTOTAL(109,_USDashboardTable5[Percentage by Market Value])</f>
        <v>1</v>
      </c>
      <c r="Q56" s="333" t="s">
        <v>57</v>
      </c>
      <c r="R56" s="333">
        <f>SUBTOTAL(109,_USDashboardTable57[Count])</f>
        <v>1</v>
      </c>
      <c r="S56" s="334">
        <f>SUBTOTAL(109,_USDashboardTable57[Market Value (in USD)])</f>
        <v>1220.6451612903227</v>
      </c>
      <c r="T56" s="335">
        <f>SUBTOTAL(109,_USDashboardTable57[Percentage by Market Value])</f>
        <v>1</v>
      </c>
      <c r="V56" s="333" t="s">
        <v>57</v>
      </c>
      <c r="W56" s="333">
        <f>SUBTOTAL(109,_USDashboardTable5714[Count])</f>
        <v>1</v>
      </c>
      <c r="X56" s="334">
        <f>SUBTOTAL(109,_USDashboardTable5714[Market Value (in USD)])</f>
        <v>2348.4848484848485</v>
      </c>
      <c r="Y56" s="335">
        <f>SUBTOTAL(109,_USDashboardTable5714[Percentage by Market Value])</f>
        <v>1</v>
      </c>
    </row>
    <row r="57" spans="2:25" outlineLevel="1" x14ac:dyDescent="0.3">
      <c r="B57" s="60"/>
      <c r="C57" s="60"/>
      <c r="D57" s="59"/>
      <c r="I57" s="63"/>
      <c r="J57" s="63"/>
      <c r="K57" s="64"/>
      <c r="L57" s="63"/>
      <c r="M57" s="62"/>
      <c r="N57" s="61"/>
      <c r="Q57" s="63"/>
      <c r="R57" s="62"/>
      <c r="S57" s="61"/>
      <c r="V57" s="63"/>
      <c r="W57" s="62"/>
      <c r="X57" s="61"/>
    </row>
    <row r="58" spans="2:25" outlineLevel="1" x14ac:dyDescent="0.3">
      <c r="B58" s="60"/>
      <c r="C58" s="60"/>
      <c r="I58" s="63"/>
      <c r="J58" s="63"/>
      <c r="K58" s="64"/>
      <c r="L58" s="63"/>
      <c r="M58" s="62"/>
      <c r="N58" s="61"/>
      <c r="Q58" s="63"/>
      <c r="R58" s="62"/>
      <c r="S58" s="61"/>
      <c r="V58" s="63"/>
      <c r="W58" s="62"/>
      <c r="X58" s="61"/>
    </row>
    <row r="59" spans="2:25" outlineLevel="1" x14ac:dyDescent="0.3">
      <c r="B59" s="60"/>
      <c r="C59" s="60"/>
      <c r="D59" s="59"/>
      <c r="I59" s="63"/>
      <c r="J59" s="63"/>
      <c r="L59" s="63"/>
      <c r="M59" s="62"/>
      <c r="N59" s="61"/>
      <c r="Q59" s="63"/>
      <c r="R59" s="62"/>
      <c r="S59" s="61"/>
      <c r="V59" s="63"/>
      <c r="W59" s="62"/>
      <c r="X59" s="61"/>
    </row>
    <row r="60" spans="2:25" outlineLevel="1" x14ac:dyDescent="0.3"/>
    <row r="61" spans="2:25" outlineLevel="1" x14ac:dyDescent="0.3">
      <c r="B61" s="60"/>
      <c r="C61" s="60"/>
      <c r="D61" s="59"/>
    </row>
    <row r="62" spans="2:25" outlineLevel="1" x14ac:dyDescent="0.3"/>
    <row r="63" spans="2:25" outlineLevel="1" x14ac:dyDescent="0.3">
      <c r="B63" s="60"/>
      <c r="C63" s="60"/>
      <c r="D63" s="59"/>
    </row>
    <row r="64" spans="2:25" outlineLevel="1" x14ac:dyDescent="0.3"/>
    <row r="65" outlineLevel="1" x14ac:dyDescent="0.3"/>
    <row r="66" outlineLevel="1" x14ac:dyDescent="0.3"/>
    <row r="67" outlineLevel="1" x14ac:dyDescent="0.3"/>
    <row r="68" outlineLevel="1" x14ac:dyDescent="0.3"/>
    <row r="69" outlineLevel="1" x14ac:dyDescent="0.3"/>
    <row r="70" outlineLevel="1" x14ac:dyDescent="0.3"/>
    <row r="71" outlineLevel="1" x14ac:dyDescent="0.3"/>
    <row r="72" outlineLevel="1" x14ac:dyDescent="0.3"/>
    <row r="73" outlineLevel="1" x14ac:dyDescent="0.3"/>
    <row r="74" outlineLevel="1" x14ac:dyDescent="0.3"/>
    <row r="75" outlineLevel="1" x14ac:dyDescent="0.3"/>
    <row r="76" outlineLevel="1" x14ac:dyDescent="0.3"/>
    <row r="77" outlineLevel="1" x14ac:dyDescent="0.3"/>
    <row r="78" outlineLevel="1" x14ac:dyDescent="0.3"/>
    <row r="79" outlineLevel="1" x14ac:dyDescent="0.3"/>
    <row r="80" outlineLevel="1" x14ac:dyDescent="0.3"/>
    <row r="81" outlineLevel="1" x14ac:dyDescent="0.3"/>
    <row r="82" outlineLevel="1" x14ac:dyDescent="0.3"/>
    <row r="83" outlineLevel="1" x14ac:dyDescent="0.3"/>
    <row r="84" outlineLevel="1" x14ac:dyDescent="0.3"/>
    <row r="85" outlineLevel="1" x14ac:dyDescent="0.3"/>
    <row r="86" outlineLevel="1" x14ac:dyDescent="0.3"/>
    <row r="87" outlineLevel="1" x14ac:dyDescent="0.3"/>
    <row r="88" outlineLevel="1" x14ac:dyDescent="0.3"/>
    <row r="89" outlineLevel="1" x14ac:dyDescent="0.3"/>
    <row r="90" outlineLevel="1" x14ac:dyDescent="0.3"/>
    <row r="91" outlineLevel="1" x14ac:dyDescent="0.3"/>
    <row r="92" outlineLevel="1" x14ac:dyDescent="0.3"/>
    <row r="93" outlineLevel="1" x14ac:dyDescent="0.3"/>
    <row r="94" outlineLevel="1" x14ac:dyDescent="0.3"/>
    <row r="95" outlineLevel="1" x14ac:dyDescent="0.3"/>
    <row r="96" outlineLevel="1" x14ac:dyDescent="0.3"/>
    <row r="97" spans="2:5" outlineLevel="1" x14ac:dyDescent="0.3"/>
    <row r="98" spans="2:5" outlineLevel="1" x14ac:dyDescent="0.3"/>
    <row r="99" spans="2:5" outlineLevel="1" x14ac:dyDescent="0.3"/>
    <row r="100" spans="2:5" outlineLevel="1" x14ac:dyDescent="0.3"/>
    <row r="101" spans="2:5" outlineLevel="1" x14ac:dyDescent="0.3"/>
    <row r="102" spans="2:5" outlineLevel="1" x14ac:dyDescent="0.3"/>
    <row r="103" spans="2:5" outlineLevel="1" x14ac:dyDescent="0.3"/>
    <row r="104" spans="2:5" outlineLevel="1" x14ac:dyDescent="0.3"/>
    <row r="105" spans="2:5" outlineLevel="1" x14ac:dyDescent="0.3"/>
    <row r="108" spans="2:5" ht="35.25" customHeight="1" x14ac:dyDescent="0.3">
      <c r="B108" s="213" t="s">
        <v>68</v>
      </c>
    </row>
    <row r="109" spans="2:5" ht="35.25" customHeight="1" outlineLevel="1" x14ac:dyDescent="0.3">
      <c r="B109" s="211" t="s">
        <v>67</v>
      </c>
      <c r="C109" s="211" t="s">
        <v>66</v>
      </c>
      <c r="D109" s="211" t="s">
        <v>65</v>
      </c>
      <c r="E109" s="212" t="s">
        <v>64</v>
      </c>
    </row>
    <row r="110" spans="2:5" ht="35.25" customHeight="1" outlineLevel="1" x14ac:dyDescent="0.3">
      <c r="B110" s="57" t="s">
        <v>63</v>
      </c>
      <c r="C110" s="56">
        <f>COUNTIFS(_TrackerTable[Country],_USDashboardTable568[[#This Row],[Country]])</f>
        <v>1</v>
      </c>
      <c r="D110" s="55">
        <f>SUMIFS(_TrackerTable[Market Value
(in USD)],_TrackerTable[Country],_USDashboardTable568[[#This Row],[Country]])</f>
        <v>1876.4</v>
      </c>
      <c r="E110" s="54">
        <f>IF(_USDashboardTable568[[#Totals],[Market Value (in USD)]]&gt;0,_USDashboardTable568[[#This Row],[Market Value (in USD)]]/_USDashboardTable568[[#Totals],[Market Value (in USD)]],0)</f>
        <v>0.26553043077294414</v>
      </c>
    </row>
    <row r="111" spans="2:5" ht="35.25" customHeight="1" outlineLevel="1" x14ac:dyDescent="0.3">
      <c r="B111" s="57" t="s">
        <v>62</v>
      </c>
      <c r="C111" s="56">
        <f>COUNTIFS(_TrackerTable[Country],_USDashboardTable568[[#This Row],[Country]])</f>
        <v>1</v>
      </c>
      <c r="D111" s="55">
        <f>SUMIFS(_TrackerTable[Market Value
(in USD)],_TrackerTable[Country],_USDashboardTable568[[#This Row],[Country]])</f>
        <v>1621.08</v>
      </c>
      <c r="E111" s="54">
        <f>IF(_USDashboardTable568[[#Totals],[Market Value (in USD)]]&gt;0,_USDashboardTable568[[#This Row],[Market Value (in USD)]]/_USDashboardTable568[[#Totals],[Market Value (in USD)]],0)</f>
        <v>0.22939995241814337</v>
      </c>
    </row>
    <row r="112" spans="2:5" ht="35.25" customHeight="1" outlineLevel="1" x14ac:dyDescent="0.3">
      <c r="B112" s="57" t="s">
        <v>61</v>
      </c>
      <c r="C112" s="56">
        <f>COUNTIFS(_TrackerTable[Country],_USDashboardTable568[[#This Row],[Country]])</f>
        <v>1</v>
      </c>
      <c r="D112" s="55">
        <f>SUMIFS(_TrackerTable[Market Value
(in USD)],_TrackerTable[Country],_USDashboardTable568[[#This Row],[Country]])</f>
        <v>1220.6451612903227</v>
      </c>
      <c r="E112" s="54">
        <f>IF(_USDashboardTable568[[#Totals],[Market Value (in USD)]]&gt;0,_USDashboardTable568[[#This Row],[Market Value (in USD)]]/_USDashboardTable568[[#Totals],[Market Value (in USD)]],0)</f>
        <v>0.17273419073669219</v>
      </c>
    </row>
    <row r="113" spans="2:5" ht="35.25" customHeight="1" outlineLevel="1" x14ac:dyDescent="0.3">
      <c r="B113" s="57" t="s">
        <v>60</v>
      </c>
      <c r="C113" s="56">
        <f>COUNTIFS(_TrackerTable[Country],_USDashboardTable568[[#This Row],[Country]])</f>
        <v>1</v>
      </c>
      <c r="D113" s="55">
        <f>SUMIFS(_TrackerTable[Market Value
(in USD)],_TrackerTable[Country],_USDashboardTable568[[#This Row],[Country]])</f>
        <v>2348.4848484848485</v>
      </c>
      <c r="E113" s="54">
        <f>IF(_USDashboardTable568[[#Totals],[Market Value (in USD)]]&gt;0,_USDashboardTable568[[#This Row],[Market Value (in USD)]]/_USDashboardTable568[[#Totals],[Market Value (in USD)]],0)</f>
        <v>0.33233542607222033</v>
      </c>
    </row>
    <row r="114" spans="2:5" ht="35.25" customHeight="1" outlineLevel="1" x14ac:dyDescent="0.3">
      <c r="B114" s="53" t="s">
        <v>57</v>
      </c>
      <c r="C114" s="53">
        <f>SUBTOTAL(109,_USDashboardTable568[Count])</f>
        <v>4</v>
      </c>
      <c r="D114" s="52">
        <f>SUBTOTAL(109,_USDashboardTable568[Market Value (in USD)])</f>
        <v>7066.6100097751714</v>
      </c>
      <c r="E114" s="51">
        <f>SUBTOTAL(109,_USDashboardTable568[Percentage by Market Value])</f>
        <v>1</v>
      </c>
    </row>
    <row r="115" spans="2:5" outlineLevel="1" x14ac:dyDescent="0.3"/>
    <row r="116" spans="2:5" outlineLevel="1" x14ac:dyDescent="0.3"/>
    <row r="117" spans="2:5" outlineLevel="1" x14ac:dyDescent="0.3"/>
    <row r="118" spans="2:5" outlineLevel="1" x14ac:dyDescent="0.3"/>
    <row r="119" spans="2:5" outlineLevel="1" x14ac:dyDescent="0.3"/>
    <row r="120" spans="2:5" outlineLevel="1" x14ac:dyDescent="0.3"/>
    <row r="121" spans="2:5" outlineLevel="1" x14ac:dyDescent="0.3"/>
    <row r="122" spans="2:5" outlineLevel="1" x14ac:dyDescent="0.3"/>
    <row r="123" spans="2:5" outlineLevel="1" x14ac:dyDescent="0.3"/>
    <row r="124" spans="2:5" outlineLevel="1" x14ac:dyDescent="0.3"/>
    <row r="125" spans="2:5" outlineLevel="1" x14ac:dyDescent="0.3"/>
    <row r="126" spans="2:5" outlineLevel="1" x14ac:dyDescent="0.3"/>
    <row r="127" spans="2:5" outlineLevel="1" x14ac:dyDescent="0.3"/>
    <row r="128" spans="2:5" outlineLevel="1" x14ac:dyDescent="0.3"/>
    <row r="129" outlineLevel="1" x14ac:dyDescent="0.3"/>
    <row r="130" outlineLevel="1" x14ac:dyDescent="0.3"/>
    <row r="131" outlineLevel="1" x14ac:dyDescent="0.3"/>
    <row r="132" outlineLevel="1" x14ac:dyDescent="0.3"/>
    <row r="133" outlineLevel="1" x14ac:dyDescent="0.3"/>
    <row r="134" outlineLevel="1" x14ac:dyDescent="0.3"/>
    <row r="135" outlineLevel="1" x14ac:dyDescent="0.3"/>
    <row r="136" outlineLevel="1" x14ac:dyDescent="0.3"/>
    <row r="137" outlineLevel="1" x14ac:dyDescent="0.3"/>
    <row r="138" outlineLevel="1" x14ac:dyDescent="0.3"/>
    <row r="139" outlineLevel="1" x14ac:dyDescent="0.3"/>
    <row r="140" outlineLevel="1" x14ac:dyDescent="0.3"/>
    <row r="141" outlineLevel="1" x14ac:dyDescent="0.3"/>
    <row r="142" outlineLevel="1" x14ac:dyDescent="0.3"/>
    <row r="143" outlineLevel="1" x14ac:dyDescent="0.3"/>
    <row r="144" outlineLevel="1" x14ac:dyDescent="0.3"/>
    <row r="145" outlineLevel="1" x14ac:dyDescent="0.3"/>
    <row r="146" outlineLevel="1" x14ac:dyDescent="0.3"/>
    <row r="147" outlineLevel="1" x14ac:dyDescent="0.3"/>
    <row r="148" outlineLevel="1" x14ac:dyDescent="0.3"/>
    <row r="149" outlineLevel="1" x14ac:dyDescent="0.3"/>
    <row r="150" outlineLevel="1" x14ac:dyDescent="0.3"/>
    <row r="151" outlineLevel="1" x14ac:dyDescent="0.3"/>
    <row r="152" outlineLevel="1" x14ac:dyDescent="0.3"/>
    <row r="153" outlineLevel="1" x14ac:dyDescent="0.3"/>
    <row r="154" outlineLevel="1" x14ac:dyDescent="0.3"/>
    <row r="155" outlineLevel="1" x14ac:dyDescent="0.3"/>
    <row r="156" outlineLevel="1" x14ac:dyDescent="0.3"/>
    <row r="157" outlineLevel="1" x14ac:dyDescent="0.3"/>
    <row r="158" outlineLevel="1" x14ac:dyDescent="0.3"/>
    <row r="159" outlineLevel="1" x14ac:dyDescent="0.3"/>
    <row r="160" outlineLevel="1" x14ac:dyDescent="0.3"/>
    <row r="161" spans="2:25" outlineLevel="1" x14ac:dyDescent="0.3"/>
    <row r="162" spans="2:25" outlineLevel="1" x14ac:dyDescent="0.3"/>
    <row r="163" spans="2:25" outlineLevel="1" x14ac:dyDescent="0.3"/>
    <row r="166" spans="2:25" x14ac:dyDescent="0.3">
      <c r="B166" s="405" t="s">
        <v>141</v>
      </c>
      <c r="C166" s="405"/>
      <c r="D166" s="405"/>
      <c r="E166" s="405"/>
      <c r="F166" s="405"/>
      <c r="G166" s="166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</row>
    <row r="167" spans="2:25" x14ac:dyDescent="0.3">
      <c r="B167" s="405"/>
      <c r="C167" s="405"/>
      <c r="D167" s="405"/>
      <c r="E167" s="405"/>
      <c r="F167" s="405"/>
      <c r="G167" s="166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</row>
    <row r="168" spans="2:25" x14ac:dyDescent="0.3">
      <c r="B168" s="405"/>
      <c r="C168" s="405"/>
      <c r="D168" s="405"/>
      <c r="E168" s="405"/>
      <c r="F168" s="405"/>
      <c r="G168" s="166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</row>
    <row r="169" spans="2:25" x14ac:dyDescent="0.3">
      <c r="B169" s="405"/>
      <c r="C169" s="405"/>
      <c r="D169" s="405"/>
      <c r="E169" s="405"/>
      <c r="F169" s="405"/>
      <c r="G169" s="166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</row>
    <row r="170" spans="2:25" x14ac:dyDescent="0.3">
      <c r="B170" s="405"/>
      <c r="C170" s="405"/>
      <c r="D170" s="405"/>
      <c r="E170" s="405"/>
      <c r="F170" s="405"/>
      <c r="G170" s="166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</row>
    <row r="171" spans="2:25" x14ac:dyDescent="0.3">
      <c r="B171" s="405"/>
      <c r="C171" s="405"/>
      <c r="D171" s="405"/>
      <c r="E171" s="405"/>
      <c r="F171" s="405"/>
      <c r="G171" s="166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</row>
    <row r="172" spans="2:25" x14ac:dyDescent="0.3">
      <c r="B172" s="405"/>
      <c r="C172" s="405"/>
      <c r="D172" s="405"/>
      <c r="E172" s="405"/>
      <c r="F172" s="405"/>
      <c r="G172" s="166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</row>
    <row r="173" spans="2:25" x14ac:dyDescent="0.3">
      <c r="B173" s="217"/>
      <c r="C173" s="217"/>
      <c r="D173" s="217"/>
      <c r="E173" s="218"/>
      <c r="F173" s="332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</row>
    <row r="174" spans="2:25" x14ac:dyDescent="0.3">
      <c r="B174" s="217"/>
      <c r="C174" s="217"/>
      <c r="D174" s="217"/>
      <c r="E174" s="218"/>
      <c r="F174" s="332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</row>
  </sheetData>
  <mergeCells count="2">
    <mergeCell ref="B2:E2"/>
    <mergeCell ref="B166:F172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F98FEC-FCD6-4E52-B47D-BAECAD4D10A1}">
          <x14:formula1>
            <xm:f>'Custom Parameters'!$B$19:$B$23</xm:f>
          </x14:formula1>
          <xm:sqref>G46 L46 V46 Q46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H38"/>
  <sheetViews>
    <sheetView zoomScale="115" zoomScaleNormal="115" workbookViewId="0">
      <pane ySplit="8" topLeftCell="A9" activePane="bottomLeft" state="frozen"/>
      <selection activeCell="J3" sqref="J3"/>
      <selection pane="bottomLeft" activeCell="A9" sqref="A9"/>
    </sheetView>
  </sheetViews>
  <sheetFormatPr defaultColWidth="9.08984375" defaultRowHeight="15.6" x14ac:dyDescent="0.3"/>
  <cols>
    <col min="1" max="1" width="3.08984375" style="49" customWidth="1"/>
    <col min="2" max="2" width="3.90625" style="49" customWidth="1"/>
    <col min="3" max="3" width="12.90625" style="49" bestFit="1" customWidth="1"/>
    <col min="4" max="4" width="12.90625" style="49" customWidth="1"/>
    <col min="5" max="5" width="14.36328125" style="49" bestFit="1" customWidth="1"/>
    <col min="6" max="6" width="10" style="49" bestFit="1" customWidth="1"/>
    <col min="7" max="7" width="9.36328125" style="49" bestFit="1" customWidth="1"/>
    <col min="8" max="8" width="8" style="49" bestFit="1" customWidth="1"/>
    <col min="9" max="9" width="10.6328125" style="76" customWidth="1"/>
    <col min="10" max="10" width="17.36328125" style="63" bestFit="1" customWidth="1"/>
    <col min="11" max="11" width="10.6328125" style="75" customWidth="1"/>
    <col min="12" max="12" width="12" style="63" bestFit="1" customWidth="1"/>
    <col min="13" max="13" width="10.6328125" style="49" customWidth="1"/>
    <col min="14" max="14" width="10.6328125" style="63" customWidth="1"/>
    <col min="15" max="15" width="12" style="49" customWidth="1"/>
    <col min="16" max="16" width="12" style="63" bestFit="1" customWidth="1"/>
    <col min="17" max="17" width="12.453125" style="63" customWidth="1"/>
    <col min="18" max="18" width="12" style="63" bestFit="1" customWidth="1"/>
    <col min="19" max="19" width="13.7265625" style="63" customWidth="1"/>
    <col min="20" max="20" width="11.6328125" style="50" bestFit="1" customWidth="1"/>
    <col min="21" max="21" width="12.453125" style="49" customWidth="1"/>
    <col min="22" max="22" width="10.08984375" style="63" bestFit="1" customWidth="1"/>
    <col min="23" max="23" width="11" style="50" bestFit="1" customWidth="1"/>
    <col min="24" max="24" width="11.6328125" style="63" customWidth="1"/>
    <col min="25" max="25" width="12" style="49" bestFit="1" customWidth="1"/>
    <col min="26" max="26" width="12" style="49" customWidth="1"/>
    <col min="27" max="27" width="9.90625" style="50" customWidth="1"/>
    <col min="28" max="28" width="9.90625" style="63" customWidth="1"/>
    <col min="29" max="29" width="13.08984375" style="50" bestFit="1" customWidth="1"/>
    <col min="30" max="30" width="15.453125" style="50" bestFit="1" customWidth="1"/>
    <col min="31" max="31" width="12" style="50" customWidth="1"/>
    <col min="32" max="33" width="9.90625" style="49" customWidth="1"/>
    <col min="34" max="34" width="2.36328125" style="49" customWidth="1"/>
    <col min="35" max="16384" width="9.08984375" style="49"/>
  </cols>
  <sheetData>
    <row r="1" spans="2:29" s="94" customFormat="1" ht="49.5" customHeight="1" x14ac:dyDescent="0.5">
      <c r="C1" s="219" t="s">
        <v>118</v>
      </c>
      <c r="D1" s="74"/>
      <c r="I1" s="101"/>
      <c r="J1" s="99"/>
      <c r="K1" s="100"/>
      <c r="L1" s="99"/>
      <c r="N1" s="99"/>
      <c r="P1" s="99"/>
      <c r="Q1" s="99"/>
      <c r="R1" s="99"/>
      <c r="S1" s="99"/>
      <c r="T1" s="102"/>
      <c r="U1" s="99"/>
      <c r="V1" s="102"/>
      <c r="W1" s="99"/>
      <c r="Y1" s="102"/>
      <c r="Z1" s="102"/>
      <c r="AA1" s="99"/>
      <c r="AB1" s="102"/>
      <c r="AC1" s="102"/>
    </row>
    <row r="2" spans="2:29" s="94" customFormat="1" x14ac:dyDescent="0.3">
      <c r="I2" s="101"/>
      <c r="J2" s="95"/>
      <c r="K2" s="100"/>
      <c r="L2" s="99"/>
      <c r="M2" s="96"/>
      <c r="N2" s="95"/>
      <c r="O2" s="96"/>
      <c r="P2" s="95"/>
      <c r="Q2" s="99"/>
      <c r="R2" s="99"/>
      <c r="S2" s="99"/>
      <c r="T2" s="103"/>
      <c r="U2" s="95"/>
      <c r="V2" s="103"/>
      <c r="W2" s="95"/>
      <c r="X2" s="96"/>
      <c r="Y2" s="103"/>
      <c r="Z2" s="103"/>
      <c r="AA2" s="95"/>
      <c r="AB2" s="103"/>
      <c r="AC2" s="102"/>
    </row>
    <row r="3" spans="2:29" s="94" customFormat="1" x14ac:dyDescent="0.3">
      <c r="C3" s="221" t="s">
        <v>117</v>
      </c>
      <c r="D3" s="222">
        <v>4275</v>
      </c>
      <c r="F3" s="62"/>
      <c r="G3" s="62"/>
      <c r="H3" s="62"/>
      <c r="I3" s="101"/>
      <c r="J3" s="99"/>
      <c r="K3" s="100"/>
      <c r="L3" s="99"/>
      <c r="N3" s="99"/>
      <c r="P3" s="99"/>
      <c r="Q3" s="99"/>
      <c r="R3" s="95"/>
      <c r="S3" s="95"/>
      <c r="T3" s="102"/>
      <c r="U3" s="99"/>
      <c r="V3" s="102"/>
      <c r="W3" s="99"/>
      <c r="Y3" s="102"/>
      <c r="Z3" s="102"/>
      <c r="AA3" s="99"/>
      <c r="AB3" s="102"/>
      <c r="AC3" s="102"/>
    </row>
    <row r="4" spans="2:29" s="94" customFormat="1" ht="16.2" thickBot="1" x14ac:dyDescent="0.35">
      <c r="C4" s="223" t="s">
        <v>116</v>
      </c>
      <c r="D4" s="224">
        <f>_TrackerTable[[#Totals],[Market Value
(in USD)]]</f>
        <v>7066.6100097751714</v>
      </c>
      <c r="F4" s="62"/>
      <c r="G4" s="62"/>
      <c r="H4" s="62"/>
      <c r="I4" s="101"/>
      <c r="J4" s="99"/>
      <c r="K4" s="100"/>
      <c r="L4" s="99"/>
      <c r="N4" s="99"/>
      <c r="P4" s="99"/>
      <c r="Q4" s="99"/>
      <c r="R4" s="99"/>
      <c r="S4" s="99"/>
      <c r="T4" s="102"/>
      <c r="U4" s="99"/>
      <c r="V4" s="102"/>
      <c r="W4" s="99"/>
      <c r="Y4" s="102"/>
      <c r="Z4" s="102"/>
      <c r="AA4" s="99"/>
      <c r="AB4" s="102"/>
      <c r="AC4" s="102"/>
    </row>
    <row r="5" spans="2:29" s="94" customFormat="1" x14ac:dyDescent="0.3">
      <c r="C5" s="225" t="s">
        <v>115</v>
      </c>
      <c r="D5" s="222">
        <f>SUM(D3:D4)</f>
        <v>11341.610009775171</v>
      </c>
      <c r="F5" s="62"/>
      <c r="G5" s="62"/>
      <c r="H5" s="62"/>
      <c r="I5" s="101"/>
      <c r="J5" s="99"/>
      <c r="K5" s="100"/>
      <c r="L5" s="99"/>
      <c r="N5" s="99"/>
      <c r="P5" s="99"/>
      <c r="Q5" s="99"/>
      <c r="R5" s="99"/>
      <c r="S5" s="99"/>
      <c r="T5" s="102"/>
      <c r="U5" s="99"/>
      <c r="V5" s="102"/>
      <c r="W5" s="99"/>
      <c r="Y5" s="102"/>
      <c r="Z5" s="102"/>
      <c r="AA5" s="99"/>
      <c r="AB5" s="102"/>
      <c r="AC5" s="102"/>
    </row>
    <row r="6" spans="2:29" s="94" customFormat="1" ht="16.2" thickBot="1" x14ac:dyDescent="0.35">
      <c r="C6" s="96"/>
      <c r="D6" s="96"/>
      <c r="E6" s="62"/>
      <c r="F6" s="62"/>
      <c r="G6" s="62"/>
      <c r="H6" s="62"/>
      <c r="I6" s="101"/>
      <c r="J6" s="99"/>
      <c r="K6" s="100"/>
      <c r="L6" s="99"/>
      <c r="N6" s="99"/>
      <c r="P6" s="99"/>
      <c r="Q6" s="235" t="s">
        <v>114</v>
      </c>
      <c r="R6" s="236"/>
      <c r="S6" s="235" t="s">
        <v>113</v>
      </c>
      <c r="T6" s="237"/>
      <c r="U6" s="235" t="s">
        <v>58</v>
      </c>
      <c r="V6" s="237"/>
      <c r="W6" s="235" t="s">
        <v>112</v>
      </c>
      <c r="X6" s="238"/>
      <c r="Y6" s="237"/>
      <c r="Z6" s="237"/>
      <c r="AA6" s="235" t="s">
        <v>107</v>
      </c>
      <c r="AB6" s="98"/>
      <c r="AC6" s="97"/>
    </row>
    <row r="7" spans="2:29" s="234" customFormat="1" ht="14.4" thickBot="1" x14ac:dyDescent="0.3">
      <c r="B7" s="220"/>
      <c r="C7" s="220" t="s">
        <v>111</v>
      </c>
      <c r="D7" s="220"/>
      <c r="E7" s="220"/>
      <c r="F7" s="220"/>
      <c r="G7" s="220"/>
      <c r="H7" s="220" t="s">
        <v>3</v>
      </c>
      <c r="I7" s="226"/>
      <c r="J7" s="227" t="s">
        <v>110</v>
      </c>
      <c r="K7" s="228" t="s">
        <v>109</v>
      </c>
      <c r="L7" s="227"/>
      <c r="M7" s="220" t="s">
        <v>108</v>
      </c>
      <c r="N7" s="227"/>
      <c r="O7" s="220" t="s">
        <v>107</v>
      </c>
      <c r="P7" s="227" t="s">
        <v>106</v>
      </c>
      <c r="Q7" s="229" t="s">
        <v>105</v>
      </c>
      <c r="R7" s="230"/>
      <c r="S7" s="230"/>
      <c r="T7" s="231"/>
      <c r="U7" s="230"/>
      <c r="V7" s="231"/>
      <c r="W7" s="230"/>
      <c r="X7" s="232"/>
      <c r="Y7" s="231"/>
      <c r="Z7" s="231"/>
      <c r="AA7" s="230"/>
      <c r="AB7" s="231"/>
      <c r="AC7" s="233"/>
    </row>
    <row r="8" spans="2:29" s="80" customFormat="1" ht="80.25" customHeight="1" x14ac:dyDescent="0.2">
      <c r="B8" s="239" t="s">
        <v>104</v>
      </c>
      <c r="C8" s="239" t="s">
        <v>103</v>
      </c>
      <c r="D8" s="239" t="s">
        <v>102</v>
      </c>
      <c r="E8" s="239" t="s">
        <v>101</v>
      </c>
      <c r="F8" s="239" t="s">
        <v>70</v>
      </c>
      <c r="G8" s="239" t="s">
        <v>67</v>
      </c>
      <c r="H8" s="240" t="s">
        <v>100</v>
      </c>
      <c r="I8" s="241" t="s">
        <v>99</v>
      </c>
      <c r="J8" s="242" t="s">
        <v>98</v>
      </c>
      <c r="K8" s="243" t="s">
        <v>51</v>
      </c>
      <c r="L8" s="244" t="s">
        <v>97</v>
      </c>
      <c r="M8" s="245" t="s">
        <v>96</v>
      </c>
      <c r="N8" s="246" t="s">
        <v>95</v>
      </c>
      <c r="O8" s="245" t="s">
        <v>94</v>
      </c>
      <c r="P8" s="247" t="s">
        <v>93</v>
      </c>
      <c r="Q8" s="244" t="s">
        <v>92</v>
      </c>
      <c r="R8" s="246" t="s">
        <v>91</v>
      </c>
      <c r="S8" s="248" t="s">
        <v>143</v>
      </c>
      <c r="T8" s="249" t="s">
        <v>90</v>
      </c>
      <c r="U8" s="244" t="s">
        <v>89</v>
      </c>
      <c r="V8" s="250" t="s">
        <v>88</v>
      </c>
      <c r="W8" s="251" t="s">
        <v>87</v>
      </c>
      <c r="X8" s="252" t="s">
        <v>86</v>
      </c>
      <c r="Y8" s="253" t="s">
        <v>85</v>
      </c>
      <c r="Z8" s="254" t="s">
        <v>84</v>
      </c>
      <c r="AA8" s="248" t="s">
        <v>83</v>
      </c>
      <c r="AB8" s="250" t="s">
        <v>82</v>
      </c>
      <c r="AC8" s="249" t="s">
        <v>81</v>
      </c>
    </row>
    <row r="9" spans="2:29" s="80" customFormat="1" ht="39.9" customHeight="1" x14ac:dyDescent="0.2">
      <c r="B9" s="56">
        <v>1</v>
      </c>
      <c r="C9" s="57" t="s">
        <v>80</v>
      </c>
      <c r="D9" s="71" t="s">
        <v>79</v>
      </c>
      <c r="E9" s="92" t="s">
        <v>55</v>
      </c>
      <c r="F9" s="92" t="s">
        <v>176</v>
      </c>
      <c r="G9" s="92" t="s">
        <v>63</v>
      </c>
      <c r="H9" s="91" t="s">
        <v>77</v>
      </c>
      <c r="I9" s="93">
        <v>1</v>
      </c>
      <c r="J9" s="90">
        <v>2000</v>
      </c>
      <c r="K9" s="89">
        <v>8</v>
      </c>
      <c r="L9" s="83">
        <v>168.37</v>
      </c>
      <c r="M9" s="88">
        <v>44197</v>
      </c>
      <c r="N9" s="86">
        <v>253</v>
      </c>
      <c r="O9" s="85" t="s">
        <v>78</v>
      </c>
      <c r="P9" s="87">
        <v>234.55</v>
      </c>
      <c r="Q9" s="83">
        <f t="shared" ref="Q9:Q28" si="0">IF(I9&gt;0,L9/I9,L9/1)</f>
        <v>168.37</v>
      </c>
      <c r="R9" s="86">
        <f t="shared" ref="R9:R28" si="1">IF(AND(K9&gt;0,Q9&gt;0),K9*Q9,0)</f>
        <v>1346.96</v>
      </c>
      <c r="S9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2000</v>
      </c>
      <c r="T9" s="84">
        <f>IF(_TrackerTable[[#This Row],[Planned
Allocation
(in USD)]]&gt;0,_TrackerTable[[#This Row],[Total Cost
(in USD)]]/_TrackerTable[[#This Row],[Planned
Allocation
(in USD)]],0)</f>
        <v>0.67347999999999997</v>
      </c>
      <c r="U9" s="83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253</v>
      </c>
      <c r="V9" s="82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-7.2924901185770705E-2</v>
      </c>
      <c r="W9" s="85">
        <f>IF(_TrackerTable[[#This Row],[Exchange Rate 
(1 USD to xxx Listed Currency)]]&gt;0,_TrackerTable[[#This Row],[Current  Price
(in Listed Currency)]]/_TrackerTable[[#This Row],[Exchange Rate 
(1 USD to xxx Listed Currency)]],0)</f>
        <v>234.55</v>
      </c>
      <c r="X9" s="83">
        <f>_TrackerTable[[#This Row],[Current Price
(in USD)]]*_TrackerTable[[#This Row],[Quantity]]</f>
        <v>1876.4</v>
      </c>
      <c r="Y9" s="82">
        <f>IF(_TrackerTable[[#Totals],[Market Value
(in USD)]]&gt;0,_TrackerTable[[#This Row],[Market Value
(in USD)]]/_TrackerTable[[#Totals],[Market Value
(in USD)]],0)</f>
        <v>0.26553043077294414</v>
      </c>
      <c r="Z9" s="81">
        <f t="shared" ref="Z9:Z28" si="2">IF(R9&gt;0,(X9-R9)/R9,0)</f>
        <v>0.39306289719071097</v>
      </c>
      <c r="AA9" s="85" t="str">
        <f t="shared" ref="AA9:AA28" si="3">IF(O9&lt;&gt;"NA",IF(I9&gt;0,O9/I9,O9/1),"NA")</f>
        <v>NA</v>
      </c>
      <c r="AB9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9" s="81">
        <f>IF(R9&gt;0,(X9-R9)/R9+_TrackerTable[[#This Row],[Total Dividend Received
(% of Total Cost)]],0)</f>
        <v>0.39306289719071097</v>
      </c>
    </row>
    <row r="10" spans="2:29" s="80" customFormat="1" ht="39.9" customHeight="1" x14ac:dyDescent="0.2">
      <c r="B10" s="56">
        <v>2</v>
      </c>
      <c r="C10" s="57" t="s">
        <v>181</v>
      </c>
      <c r="D10" s="71" t="s">
        <v>182</v>
      </c>
      <c r="E10" s="92" t="s">
        <v>127</v>
      </c>
      <c r="F10" s="92" t="s">
        <v>53</v>
      </c>
      <c r="G10" s="92" t="s">
        <v>62</v>
      </c>
      <c r="H10" s="91" t="s">
        <v>77</v>
      </c>
      <c r="I10" s="93">
        <v>1</v>
      </c>
      <c r="J10" s="90">
        <v>2000</v>
      </c>
      <c r="K10" s="89">
        <v>38</v>
      </c>
      <c r="L10" s="83">
        <v>38</v>
      </c>
      <c r="M10" s="88" t="s">
        <v>78</v>
      </c>
      <c r="N10" s="86" t="s">
        <v>78</v>
      </c>
      <c r="O10" s="85" t="s">
        <v>78</v>
      </c>
      <c r="P10" s="87">
        <v>42.66</v>
      </c>
      <c r="Q10" s="83">
        <f t="shared" si="0"/>
        <v>38</v>
      </c>
      <c r="R10" s="86">
        <f t="shared" si="1"/>
        <v>1444</v>
      </c>
      <c r="S10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2000</v>
      </c>
      <c r="T10" s="84">
        <f>IF(_TrackerTable[[#This Row],[Planned
Allocation
(in USD)]]&gt;0,_TrackerTable[[#This Row],[Total Cost
(in USD)]]/_TrackerTable[[#This Row],[Planned
Allocation
(in USD)]],0)</f>
        <v>0.72199999999999998</v>
      </c>
      <c r="U10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0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0" s="85">
        <f>IF(_TrackerTable[[#This Row],[Exchange Rate 
(1 USD to xxx Listed Currency)]]&gt;0,_TrackerTable[[#This Row],[Current  Price
(in Listed Currency)]]/_TrackerTable[[#This Row],[Exchange Rate 
(1 USD to xxx Listed Currency)]],0)</f>
        <v>42.66</v>
      </c>
      <c r="X10" s="83">
        <f>_TrackerTable[[#This Row],[Current Price
(in USD)]]*_TrackerTable[[#This Row],[Quantity]]</f>
        <v>1621.08</v>
      </c>
      <c r="Y10" s="82">
        <f>IF(_TrackerTable[[#Totals],[Market Value
(in USD)]]&gt;0,_TrackerTable[[#This Row],[Market Value
(in USD)]]/_TrackerTable[[#Totals],[Market Value
(in USD)]],0)</f>
        <v>0.22939995241814337</v>
      </c>
      <c r="Z10" s="81">
        <f t="shared" si="2"/>
        <v>0.12263157894736837</v>
      </c>
      <c r="AA10" s="85" t="str">
        <f t="shared" si="3"/>
        <v>NA</v>
      </c>
      <c r="AB10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0" s="81">
        <f>IF(R10&gt;0,(X10-R10)/R10+_TrackerTable[[#This Row],[Total Dividend Received
(% of Total Cost)]],0)</f>
        <v>0.12263157894736837</v>
      </c>
    </row>
    <row r="11" spans="2:29" s="80" customFormat="1" ht="39.9" customHeight="1" x14ac:dyDescent="0.2">
      <c r="B11" s="56">
        <v>3</v>
      </c>
      <c r="C11" s="57">
        <v>3033</v>
      </c>
      <c r="D11" s="71" t="s">
        <v>179</v>
      </c>
      <c r="E11" s="92" t="s">
        <v>55</v>
      </c>
      <c r="F11" s="92" t="s">
        <v>53</v>
      </c>
      <c r="G11" s="92" t="s">
        <v>61</v>
      </c>
      <c r="H11" s="91" t="s">
        <v>180</v>
      </c>
      <c r="I11" s="93">
        <v>7.75</v>
      </c>
      <c r="J11" s="90">
        <v>16000</v>
      </c>
      <c r="K11" s="89">
        <v>1000</v>
      </c>
      <c r="L11" s="83">
        <v>8.42</v>
      </c>
      <c r="M11" s="88" t="s">
        <v>78</v>
      </c>
      <c r="N11" s="86" t="s">
        <v>78</v>
      </c>
      <c r="O11" s="85" t="s">
        <v>78</v>
      </c>
      <c r="P11" s="87">
        <v>9.4600000000000009</v>
      </c>
      <c r="Q11" s="83">
        <f t="shared" si="0"/>
        <v>1.0864516129032258</v>
      </c>
      <c r="R11" s="86">
        <f t="shared" si="1"/>
        <v>1086.4516129032259</v>
      </c>
      <c r="S11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2064.516129032258</v>
      </c>
      <c r="T11" s="84">
        <f>IF(_TrackerTable[[#This Row],[Planned
Allocation
(in USD)]]&gt;0,_TrackerTable[[#This Row],[Total Cost
(in USD)]]/_TrackerTable[[#This Row],[Planned
Allocation
(in USD)]],0)</f>
        <v>0.52625</v>
      </c>
      <c r="U11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1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1" s="85">
        <f>IF(_TrackerTable[[#This Row],[Exchange Rate 
(1 USD to xxx Listed Currency)]]&gt;0,_TrackerTable[[#This Row],[Current  Price
(in Listed Currency)]]/_TrackerTable[[#This Row],[Exchange Rate 
(1 USD to xxx Listed Currency)]],0)</f>
        <v>1.2206451612903226</v>
      </c>
      <c r="X11" s="83">
        <f>_TrackerTable[[#This Row],[Current Price
(in USD)]]*_TrackerTable[[#This Row],[Quantity]]</f>
        <v>1220.6451612903227</v>
      </c>
      <c r="Y11" s="82">
        <f>IF(_TrackerTable[[#Totals],[Market Value
(in USD)]]&gt;0,_TrackerTable[[#This Row],[Market Value
(in USD)]]/_TrackerTable[[#Totals],[Market Value
(in USD)]],0)</f>
        <v>0.17273419073669219</v>
      </c>
      <c r="Z11" s="81">
        <f t="shared" si="2"/>
        <v>0.12351543942992878</v>
      </c>
      <c r="AA11" s="85" t="str">
        <f t="shared" si="3"/>
        <v>NA</v>
      </c>
      <c r="AB11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1" s="81">
        <f>IF(R11&gt;0,(X11-R11)/R11+_TrackerTable[[#This Row],[Total Dividend Received
(% of Total Cost)]],0)</f>
        <v>0.12351543942992878</v>
      </c>
    </row>
    <row r="12" spans="2:29" s="80" customFormat="1" ht="39.9" customHeight="1" x14ac:dyDescent="0.2">
      <c r="B12" s="56">
        <v>4</v>
      </c>
      <c r="C12" s="57" t="s">
        <v>183</v>
      </c>
      <c r="D12" s="71" t="s">
        <v>184</v>
      </c>
      <c r="E12" s="92" t="s">
        <v>76</v>
      </c>
      <c r="F12" s="92" t="s">
        <v>107</v>
      </c>
      <c r="G12" s="92" t="s">
        <v>60</v>
      </c>
      <c r="H12" s="91" t="s">
        <v>75</v>
      </c>
      <c r="I12" s="93">
        <v>1.32</v>
      </c>
      <c r="J12" s="90">
        <v>2650</v>
      </c>
      <c r="K12" s="89">
        <v>4000</v>
      </c>
      <c r="L12" s="83">
        <v>0.61</v>
      </c>
      <c r="M12" s="88">
        <v>44226</v>
      </c>
      <c r="N12" s="86">
        <v>1.01</v>
      </c>
      <c r="O12" s="85">
        <v>880</v>
      </c>
      <c r="P12" s="87">
        <v>0.77500000000000002</v>
      </c>
      <c r="Q12" s="83">
        <f t="shared" si="0"/>
        <v>0.4621212121212121</v>
      </c>
      <c r="R12" s="86">
        <f t="shared" si="1"/>
        <v>1848.4848484848485</v>
      </c>
      <c r="S12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2007.5757575757575</v>
      </c>
      <c r="T12" s="84">
        <f>IF(_TrackerTable[[#This Row],[Planned
Allocation
(in USD)]]&gt;0,_TrackerTable[[#This Row],[Total Cost
(in USD)]]/_TrackerTable[[#This Row],[Planned
Allocation
(in USD)]],0)</f>
        <v>0.92075471698113209</v>
      </c>
      <c r="U12" s="83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0.76515151515151514</v>
      </c>
      <c r="V12" s="82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-0.2326732673267326</v>
      </c>
      <c r="W12" s="85">
        <f>IF(_TrackerTable[[#This Row],[Exchange Rate 
(1 USD to xxx Listed Currency)]]&gt;0,_TrackerTable[[#This Row],[Current  Price
(in Listed Currency)]]/_TrackerTable[[#This Row],[Exchange Rate 
(1 USD to xxx Listed Currency)]],0)</f>
        <v>0.58712121212121215</v>
      </c>
      <c r="X12" s="83">
        <f>_TrackerTable[[#This Row],[Current Price
(in USD)]]*_TrackerTable[[#This Row],[Quantity]]</f>
        <v>2348.4848484848485</v>
      </c>
      <c r="Y12" s="82">
        <f>IF(_TrackerTable[[#Totals],[Market Value
(in USD)]]&gt;0,_TrackerTable[[#This Row],[Market Value
(in USD)]]/_TrackerTable[[#Totals],[Market Value
(in USD)]],0)</f>
        <v>0.33233542607222033</v>
      </c>
      <c r="Z12" s="81">
        <f t="shared" si="2"/>
        <v>0.27049180327868855</v>
      </c>
      <c r="AA12" s="85">
        <f t="shared" si="3"/>
        <v>666.66666666666663</v>
      </c>
      <c r="AB12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0.36065573770491799</v>
      </c>
      <c r="AC12" s="81">
        <f>IF(R12&gt;0,(X12-R12)/R12+_TrackerTable[[#This Row],[Total Dividend Received
(% of Total Cost)]],0)</f>
        <v>0.63114754098360648</v>
      </c>
    </row>
    <row r="13" spans="2:29" s="80" customFormat="1" ht="39.9" customHeight="1" x14ac:dyDescent="0.2">
      <c r="B13" s="56">
        <v>5</v>
      </c>
      <c r="C13" s="57"/>
      <c r="D13" s="71"/>
      <c r="E13" s="92"/>
      <c r="F13" s="92"/>
      <c r="G13" s="92"/>
      <c r="H13" s="91"/>
      <c r="I13" s="93"/>
      <c r="J13" s="90"/>
      <c r="K13" s="89"/>
      <c r="L13" s="83"/>
      <c r="M13" s="88"/>
      <c r="N13" s="86"/>
      <c r="O13" s="85"/>
      <c r="P13" s="87"/>
      <c r="Q13" s="83">
        <f t="shared" si="0"/>
        <v>0</v>
      </c>
      <c r="R13" s="86">
        <f t="shared" si="1"/>
        <v>0</v>
      </c>
      <c r="S13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3" s="84">
        <f>IF(_TrackerTable[[#This Row],[Planned
Allocation
(in USD)]]&gt;0,_TrackerTable[[#This Row],[Total Cost
(in USD)]]/_TrackerTable[[#This Row],[Planned
Allocation
(in USD)]],0)</f>
        <v>0</v>
      </c>
      <c r="U13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3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3" s="85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3" s="83">
        <f>_TrackerTable[[#This Row],[Current Price
(in USD)]]*_TrackerTable[[#This Row],[Quantity]]</f>
        <v>0</v>
      </c>
      <c r="Y13" s="82">
        <f>IF(_TrackerTable[[#Totals],[Market Value
(in USD)]]&gt;0,_TrackerTable[[#This Row],[Market Value
(in USD)]]/_TrackerTable[[#Totals],[Market Value
(in USD)]],0)</f>
        <v>0</v>
      </c>
      <c r="Z13" s="81">
        <f t="shared" si="2"/>
        <v>0</v>
      </c>
      <c r="AA13" s="85">
        <f t="shared" si="3"/>
        <v>0</v>
      </c>
      <c r="AB13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3" s="81">
        <f>IF(R13&gt;0,(X13-R13)/R13+_TrackerTable[[#This Row],[Total Dividend Received
(% of Total Cost)]],0)</f>
        <v>0</v>
      </c>
    </row>
    <row r="14" spans="2:29" s="80" customFormat="1" ht="39.9" customHeight="1" x14ac:dyDescent="0.2">
      <c r="B14" s="56">
        <v>6</v>
      </c>
      <c r="C14" s="57"/>
      <c r="D14" s="71"/>
      <c r="E14" s="92"/>
      <c r="F14" s="92"/>
      <c r="G14" s="92"/>
      <c r="H14" s="91"/>
      <c r="I14" s="93"/>
      <c r="J14" s="90"/>
      <c r="K14" s="89"/>
      <c r="L14" s="83"/>
      <c r="M14" s="88"/>
      <c r="N14" s="86"/>
      <c r="O14" s="85"/>
      <c r="P14" s="87"/>
      <c r="Q14" s="85">
        <f t="shared" si="0"/>
        <v>0</v>
      </c>
      <c r="R14" s="86">
        <f t="shared" si="1"/>
        <v>0</v>
      </c>
      <c r="S14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4" s="84">
        <f>IF(_TrackerTable[[#This Row],[Planned
Allocation
(in USD)]]&gt;0,_TrackerTable[[#This Row],[Total Cost
(in USD)]]/_TrackerTable[[#This Row],[Planned
Allocation
(in USD)]],0)</f>
        <v>0</v>
      </c>
      <c r="U14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4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4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4" s="83">
        <f>_TrackerTable[[#This Row],[Current Price
(in USD)]]*_TrackerTable[[#This Row],[Quantity]]</f>
        <v>0</v>
      </c>
      <c r="Y14" s="82">
        <f>IF(_TrackerTable[[#Totals],[Market Value
(in USD)]]&gt;0,_TrackerTable[[#This Row],[Market Value
(in USD)]]/_TrackerTable[[#Totals],[Market Value
(in USD)]],0)</f>
        <v>0</v>
      </c>
      <c r="Z14" s="81">
        <f t="shared" si="2"/>
        <v>0</v>
      </c>
      <c r="AA14" s="83">
        <f t="shared" si="3"/>
        <v>0</v>
      </c>
      <c r="AB14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4" s="81">
        <f>IF(R14&gt;0,(X14-R14)/R14+_TrackerTable[[#This Row],[Total Dividend Received
(% of Total Cost)]],0)</f>
        <v>0</v>
      </c>
    </row>
    <row r="15" spans="2:29" s="80" customFormat="1" ht="39.9" customHeight="1" x14ac:dyDescent="0.2">
      <c r="B15" s="56">
        <v>7</v>
      </c>
      <c r="C15" s="57"/>
      <c r="D15" s="71"/>
      <c r="E15" s="92"/>
      <c r="F15" s="92"/>
      <c r="G15" s="92"/>
      <c r="H15" s="91"/>
      <c r="I15" s="93"/>
      <c r="J15" s="90"/>
      <c r="K15" s="89"/>
      <c r="L15" s="83"/>
      <c r="M15" s="88"/>
      <c r="N15" s="86"/>
      <c r="O15" s="85"/>
      <c r="P15" s="87"/>
      <c r="Q15" s="85">
        <f t="shared" si="0"/>
        <v>0</v>
      </c>
      <c r="R15" s="86">
        <f t="shared" si="1"/>
        <v>0</v>
      </c>
      <c r="S15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5" s="84">
        <f>IF(_TrackerTable[[#This Row],[Planned
Allocation
(in USD)]]&gt;0,_TrackerTable[[#This Row],[Total Cost
(in USD)]]/_TrackerTable[[#This Row],[Planned
Allocation
(in USD)]],0)</f>
        <v>0</v>
      </c>
      <c r="U15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5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5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5" s="83">
        <f>_TrackerTable[[#This Row],[Current Price
(in USD)]]*_TrackerTable[[#This Row],[Quantity]]</f>
        <v>0</v>
      </c>
      <c r="Y15" s="82">
        <f>IF(_TrackerTable[[#Totals],[Market Value
(in USD)]]&gt;0,_TrackerTable[[#This Row],[Market Value
(in USD)]]/_TrackerTable[[#Totals],[Market Value
(in USD)]],0)</f>
        <v>0</v>
      </c>
      <c r="Z15" s="81">
        <f t="shared" si="2"/>
        <v>0</v>
      </c>
      <c r="AA15" s="83">
        <f t="shared" si="3"/>
        <v>0</v>
      </c>
      <c r="AB15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5" s="81">
        <f>IF(R15&gt;0,(X15-R15)/R15+_TrackerTable[[#This Row],[Total Dividend Received
(% of Total Cost)]],0)</f>
        <v>0</v>
      </c>
    </row>
    <row r="16" spans="2:29" s="80" customFormat="1" ht="39.9" customHeight="1" x14ac:dyDescent="0.2">
      <c r="B16" s="56">
        <v>8</v>
      </c>
      <c r="C16" s="57"/>
      <c r="D16" s="71"/>
      <c r="E16" s="92"/>
      <c r="F16" s="92"/>
      <c r="G16" s="92"/>
      <c r="H16" s="91"/>
      <c r="I16" s="93"/>
      <c r="J16" s="90"/>
      <c r="K16" s="89"/>
      <c r="L16" s="83"/>
      <c r="M16" s="88"/>
      <c r="N16" s="86"/>
      <c r="O16" s="85"/>
      <c r="P16" s="87"/>
      <c r="Q16" s="85">
        <f t="shared" si="0"/>
        <v>0</v>
      </c>
      <c r="R16" s="86">
        <f t="shared" si="1"/>
        <v>0</v>
      </c>
      <c r="S16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6" s="84">
        <f>IF(_TrackerTable[[#This Row],[Planned
Allocation
(in USD)]]&gt;0,_TrackerTable[[#This Row],[Total Cost
(in USD)]]/_TrackerTable[[#This Row],[Planned
Allocation
(in USD)]],0)</f>
        <v>0</v>
      </c>
      <c r="U16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6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6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6" s="83">
        <f>_TrackerTable[[#This Row],[Current Price
(in USD)]]*_TrackerTable[[#This Row],[Quantity]]</f>
        <v>0</v>
      </c>
      <c r="Y16" s="82">
        <f>IF(_TrackerTable[[#Totals],[Market Value
(in USD)]]&gt;0,_TrackerTable[[#This Row],[Market Value
(in USD)]]/_TrackerTable[[#Totals],[Market Value
(in USD)]],0)</f>
        <v>0</v>
      </c>
      <c r="Z16" s="81">
        <f t="shared" si="2"/>
        <v>0</v>
      </c>
      <c r="AA16" s="83">
        <f t="shared" si="3"/>
        <v>0</v>
      </c>
      <c r="AB16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6" s="81">
        <f>IF(R16&gt;0,(X16-R16)/R16+_TrackerTable[[#This Row],[Total Dividend Received
(% of Total Cost)]],0)</f>
        <v>0</v>
      </c>
    </row>
    <row r="17" spans="2:34" s="80" customFormat="1" ht="39.9" customHeight="1" x14ac:dyDescent="0.2">
      <c r="B17" s="56">
        <v>9</v>
      </c>
      <c r="C17" s="57"/>
      <c r="D17" s="71"/>
      <c r="E17" s="92"/>
      <c r="F17" s="92"/>
      <c r="G17" s="92"/>
      <c r="H17" s="91"/>
      <c r="I17" s="93"/>
      <c r="J17" s="90"/>
      <c r="K17" s="89"/>
      <c r="L17" s="83"/>
      <c r="M17" s="88"/>
      <c r="N17" s="86"/>
      <c r="O17" s="85"/>
      <c r="P17" s="87"/>
      <c r="Q17" s="85">
        <f t="shared" si="0"/>
        <v>0</v>
      </c>
      <c r="R17" s="86">
        <f t="shared" si="1"/>
        <v>0</v>
      </c>
      <c r="S17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7" s="84">
        <f>IF(_TrackerTable[[#This Row],[Planned
Allocation
(in USD)]]&gt;0,_TrackerTable[[#This Row],[Total Cost
(in USD)]]/_TrackerTable[[#This Row],[Planned
Allocation
(in USD)]],0)</f>
        <v>0</v>
      </c>
      <c r="U17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7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7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7" s="83">
        <f>_TrackerTable[[#This Row],[Current Price
(in USD)]]*_TrackerTable[[#This Row],[Quantity]]</f>
        <v>0</v>
      </c>
      <c r="Y17" s="82">
        <f>IF(_TrackerTable[[#Totals],[Market Value
(in USD)]]&gt;0,_TrackerTable[[#This Row],[Market Value
(in USD)]]/_TrackerTable[[#Totals],[Market Value
(in USD)]],0)</f>
        <v>0</v>
      </c>
      <c r="Z17" s="81">
        <f t="shared" si="2"/>
        <v>0</v>
      </c>
      <c r="AA17" s="83">
        <f t="shared" si="3"/>
        <v>0</v>
      </c>
      <c r="AB17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7" s="81">
        <f>IF(R17&gt;0,(X17-R17)/R17+_TrackerTable[[#This Row],[Total Dividend Received
(% of Total Cost)]],0)</f>
        <v>0</v>
      </c>
    </row>
    <row r="18" spans="2:34" s="80" customFormat="1" ht="39.9" customHeight="1" x14ac:dyDescent="0.2">
      <c r="B18" s="56">
        <v>10</v>
      </c>
      <c r="C18" s="57"/>
      <c r="D18" s="71"/>
      <c r="E18" s="92"/>
      <c r="F18" s="92"/>
      <c r="G18" s="92"/>
      <c r="H18" s="91"/>
      <c r="I18" s="93"/>
      <c r="J18" s="90"/>
      <c r="K18" s="89"/>
      <c r="L18" s="83"/>
      <c r="M18" s="88"/>
      <c r="N18" s="86"/>
      <c r="O18" s="85"/>
      <c r="P18" s="87"/>
      <c r="Q18" s="85">
        <f t="shared" si="0"/>
        <v>0</v>
      </c>
      <c r="R18" s="86">
        <f t="shared" si="1"/>
        <v>0</v>
      </c>
      <c r="S18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8" s="84">
        <f>IF(_TrackerTable[[#This Row],[Planned
Allocation
(in USD)]]&gt;0,_TrackerTable[[#This Row],[Total Cost
(in USD)]]/_TrackerTable[[#This Row],[Planned
Allocation
(in USD)]],0)</f>
        <v>0</v>
      </c>
      <c r="U18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8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8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8" s="83">
        <f>_TrackerTable[[#This Row],[Current Price
(in USD)]]*_TrackerTable[[#This Row],[Quantity]]</f>
        <v>0</v>
      </c>
      <c r="Y18" s="82">
        <f>IF(_TrackerTable[[#Totals],[Market Value
(in USD)]]&gt;0,_TrackerTable[[#This Row],[Market Value
(in USD)]]/_TrackerTable[[#Totals],[Market Value
(in USD)]],0)</f>
        <v>0</v>
      </c>
      <c r="Z18" s="81">
        <f t="shared" si="2"/>
        <v>0</v>
      </c>
      <c r="AA18" s="83">
        <f t="shared" si="3"/>
        <v>0</v>
      </c>
      <c r="AB18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8" s="81">
        <f>IF(R18&gt;0,(X18-R18)/R18+_TrackerTable[[#This Row],[Total Dividend Received
(% of Total Cost)]],0)</f>
        <v>0</v>
      </c>
    </row>
    <row r="19" spans="2:34" s="80" customFormat="1" ht="39.9" customHeight="1" x14ac:dyDescent="0.2">
      <c r="B19" s="56">
        <v>11</v>
      </c>
      <c r="C19" s="57"/>
      <c r="D19" s="71"/>
      <c r="E19" s="92"/>
      <c r="F19" s="92"/>
      <c r="G19" s="92"/>
      <c r="H19" s="91"/>
      <c r="I19" s="93"/>
      <c r="J19" s="90"/>
      <c r="K19" s="89"/>
      <c r="L19" s="83"/>
      <c r="M19" s="88"/>
      <c r="N19" s="86"/>
      <c r="O19" s="85"/>
      <c r="P19" s="87"/>
      <c r="Q19" s="85">
        <f t="shared" si="0"/>
        <v>0</v>
      </c>
      <c r="R19" s="86">
        <f t="shared" si="1"/>
        <v>0</v>
      </c>
      <c r="S19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19" s="84">
        <f>IF(_TrackerTable[[#This Row],[Planned
Allocation
(in USD)]]&gt;0,_TrackerTable[[#This Row],[Total Cost
(in USD)]]/_TrackerTable[[#This Row],[Planned
Allocation
(in USD)]],0)</f>
        <v>0</v>
      </c>
      <c r="U19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19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19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19" s="83">
        <f>_TrackerTable[[#This Row],[Current Price
(in USD)]]*_TrackerTable[[#This Row],[Quantity]]</f>
        <v>0</v>
      </c>
      <c r="Y19" s="82">
        <f>IF(_TrackerTable[[#Totals],[Market Value
(in USD)]]&gt;0,_TrackerTable[[#This Row],[Market Value
(in USD)]]/_TrackerTable[[#Totals],[Market Value
(in USD)]],0)</f>
        <v>0</v>
      </c>
      <c r="Z19" s="81">
        <f t="shared" si="2"/>
        <v>0</v>
      </c>
      <c r="AA19" s="83">
        <f t="shared" si="3"/>
        <v>0</v>
      </c>
      <c r="AB19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19" s="81">
        <f>IF(R19&gt;0,(X19-R19)/R19+_TrackerTable[[#This Row],[Total Dividend Received
(% of Total Cost)]],0)</f>
        <v>0</v>
      </c>
    </row>
    <row r="20" spans="2:34" s="80" customFormat="1" ht="39.9" customHeight="1" x14ac:dyDescent="0.2">
      <c r="B20" s="56">
        <v>12</v>
      </c>
      <c r="C20" s="57"/>
      <c r="D20" s="71"/>
      <c r="E20" s="92"/>
      <c r="F20" s="92"/>
      <c r="G20" s="92"/>
      <c r="H20" s="91"/>
      <c r="I20" s="93"/>
      <c r="J20" s="90"/>
      <c r="K20" s="89"/>
      <c r="L20" s="83"/>
      <c r="M20" s="88"/>
      <c r="N20" s="86"/>
      <c r="O20" s="85"/>
      <c r="P20" s="87"/>
      <c r="Q20" s="85">
        <f t="shared" si="0"/>
        <v>0</v>
      </c>
      <c r="R20" s="86">
        <f t="shared" si="1"/>
        <v>0</v>
      </c>
      <c r="S20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0" s="84">
        <f>IF(_TrackerTable[[#This Row],[Planned
Allocation
(in USD)]]&gt;0,_TrackerTable[[#This Row],[Total Cost
(in USD)]]/_TrackerTable[[#This Row],[Planned
Allocation
(in USD)]],0)</f>
        <v>0</v>
      </c>
      <c r="U20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0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0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0" s="83">
        <f>_TrackerTable[[#This Row],[Current Price
(in USD)]]*_TrackerTable[[#This Row],[Quantity]]</f>
        <v>0</v>
      </c>
      <c r="Y20" s="82">
        <f>IF(_TrackerTable[[#Totals],[Market Value
(in USD)]]&gt;0,_TrackerTable[[#This Row],[Market Value
(in USD)]]/_TrackerTable[[#Totals],[Market Value
(in USD)]],0)</f>
        <v>0</v>
      </c>
      <c r="Z20" s="81">
        <f t="shared" si="2"/>
        <v>0</v>
      </c>
      <c r="AA20" s="83">
        <f t="shared" si="3"/>
        <v>0</v>
      </c>
      <c r="AB20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0" s="81">
        <f>IF(R20&gt;0,(X20-R20)/R20+_TrackerTable[[#This Row],[Total Dividend Received
(% of Total Cost)]],0)</f>
        <v>0</v>
      </c>
    </row>
    <row r="21" spans="2:34" s="80" customFormat="1" ht="39.9" customHeight="1" x14ac:dyDescent="0.2">
      <c r="B21" s="56">
        <v>13</v>
      </c>
      <c r="C21" s="57"/>
      <c r="D21" s="71"/>
      <c r="E21" s="92"/>
      <c r="F21" s="92"/>
      <c r="G21" s="92"/>
      <c r="H21" s="91"/>
      <c r="I21" s="93"/>
      <c r="J21" s="90"/>
      <c r="K21" s="89"/>
      <c r="L21" s="83"/>
      <c r="M21" s="88"/>
      <c r="N21" s="86"/>
      <c r="O21" s="85"/>
      <c r="P21" s="87"/>
      <c r="Q21" s="85">
        <f t="shared" si="0"/>
        <v>0</v>
      </c>
      <c r="R21" s="86">
        <f t="shared" si="1"/>
        <v>0</v>
      </c>
      <c r="S21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1" s="84">
        <f>IF(_TrackerTable[[#This Row],[Planned
Allocation
(in USD)]]&gt;0,_TrackerTable[[#This Row],[Total Cost
(in USD)]]/_TrackerTable[[#This Row],[Planned
Allocation
(in USD)]],0)</f>
        <v>0</v>
      </c>
      <c r="U21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1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1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1" s="83">
        <f>_TrackerTable[[#This Row],[Current Price
(in USD)]]*_TrackerTable[[#This Row],[Quantity]]</f>
        <v>0</v>
      </c>
      <c r="Y21" s="82">
        <f>IF(_TrackerTable[[#Totals],[Market Value
(in USD)]]&gt;0,_TrackerTable[[#This Row],[Market Value
(in USD)]]/_TrackerTable[[#Totals],[Market Value
(in USD)]],0)</f>
        <v>0</v>
      </c>
      <c r="Z21" s="81">
        <f t="shared" si="2"/>
        <v>0</v>
      </c>
      <c r="AA21" s="83">
        <f t="shared" si="3"/>
        <v>0</v>
      </c>
      <c r="AB21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1" s="81">
        <f>IF(R21&gt;0,(X21-R21)/R21+_TrackerTable[[#This Row],[Total Dividend Received
(% of Total Cost)]],0)</f>
        <v>0</v>
      </c>
    </row>
    <row r="22" spans="2:34" s="80" customFormat="1" ht="39.9" customHeight="1" x14ac:dyDescent="0.2">
      <c r="B22" s="56">
        <v>14</v>
      </c>
      <c r="C22" s="57"/>
      <c r="D22" s="71"/>
      <c r="E22" s="92"/>
      <c r="F22" s="92"/>
      <c r="G22" s="92"/>
      <c r="H22" s="91"/>
      <c r="I22" s="93"/>
      <c r="J22" s="90"/>
      <c r="K22" s="89"/>
      <c r="L22" s="83"/>
      <c r="M22" s="88"/>
      <c r="N22" s="86"/>
      <c r="O22" s="85"/>
      <c r="P22" s="87"/>
      <c r="Q22" s="85">
        <f t="shared" si="0"/>
        <v>0</v>
      </c>
      <c r="R22" s="86">
        <f t="shared" si="1"/>
        <v>0</v>
      </c>
      <c r="S22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2" s="84">
        <f>IF(_TrackerTable[[#This Row],[Planned
Allocation
(in USD)]]&gt;0,_TrackerTable[[#This Row],[Total Cost
(in USD)]]/_TrackerTable[[#This Row],[Planned
Allocation
(in USD)]],0)</f>
        <v>0</v>
      </c>
      <c r="U22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2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2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2" s="83">
        <f>_TrackerTable[[#This Row],[Current Price
(in USD)]]*_TrackerTable[[#This Row],[Quantity]]</f>
        <v>0</v>
      </c>
      <c r="Y22" s="82">
        <f>IF(_TrackerTable[[#Totals],[Market Value
(in USD)]]&gt;0,_TrackerTable[[#This Row],[Market Value
(in USD)]]/_TrackerTable[[#Totals],[Market Value
(in USD)]],0)</f>
        <v>0</v>
      </c>
      <c r="Z22" s="81">
        <f t="shared" si="2"/>
        <v>0</v>
      </c>
      <c r="AA22" s="83">
        <f t="shared" si="3"/>
        <v>0</v>
      </c>
      <c r="AB22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2" s="81">
        <f>IF(R22&gt;0,(X22-R22)/R22+_TrackerTable[[#This Row],[Total Dividend Received
(% of Total Cost)]],0)</f>
        <v>0</v>
      </c>
    </row>
    <row r="23" spans="2:34" s="80" customFormat="1" ht="39.9" customHeight="1" x14ac:dyDescent="0.2">
      <c r="B23" s="56">
        <v>15</v>
      </c>
      <c r="C23" s="57"/>
      <c r="D23" s="71"/>
      <c r="E23" s="92"/>
      <c r="F23" s="92"/>
      <c r="G23" s="92"/>
      <c r="H23" s="91"/>
      <c r="I23" s="93"/>
      <c r="J23" s="90"/>
      <c r="K23" s="89"/>
      <c r="L23" s="83"/>
      <c r="M23" s="88"/>
      <c r="N23" s="86"/>
      <c r="O23" s="85"/>
      <c r="P23" s="87"/>
      <c r="Q23" s="85">
        <f t="shared" si="0"/>
        <v>0</v>
      </c>
      <c r="R23" s="86">
        <f t="shared" si="1"/>
        <v>0</v>
      </c>
      <c r="S23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3" s="84">
        <f>IF(_TrackerTable[[#This Row],[Planned
Allocation
(in USD)]]&gt;0,_TrackerTable[[#This Row],[Total Cost
(in USD)]]/_TrackerTable[[#This Row],[Planned
Allocation
(in USD)]],0)</f>
        <v>0</v>
      </c>
      <c r="U23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3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3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3" s="83">
        <f>_TrackerTable[[#This Row],[Current Price
(in USD)]]*_TrackerTable[[#This Row],[Quantity]]</f>
        <v>0</v>
      </c>
      <c r="Y23" s="82">
        <f>IF(_TrackerTable[[#Totals],[Market Value
(in USD)]]&gt;0,_TrackerTable[[#This Row],[Market Value
(in USD)]]/_TrackerTable[[#Totals],[Market Value
(in USD)]],0)</f>
        <v>0</v>
      </c>
      <c r="Z23" s="81">
        <f t="shared" si="2"/>
        <v>0</v>
      </c>
      <c r="AA23" s="83">
        <f t="shared" si="3"/>
        <v>0</v>
      </c>
      <c r="AB23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3" s="81">
        <f>IF(R23&gt;0,(X23-R23)/R23+_TrackerTable[[#This Row],[Total Dividend Received
(% of Total Cost)]],0)</f>
        <v>0</v>
      </c>
    </row>
    <row r="24" spans="2:34" s="80" customFormat="1" ht="39.9" customHeight="1" x14ac:dyDescent="0.2">
      <c r="B24" s="56">
        <v>16</v>
      </c>
      <c r="C24" s="57"/>
      <c r="D24" s="71"/>
      <c r="E24" s="92"/>
      <c r="F24" s="92"/>
      <c r="G24" s="92"/>
      <c r="H24" s="91"/>
      <c r="I24" s="93"/>
      <c r="J24" s="90"/>
      <c r="K24" s="89"/>
      <c r="L24" s="83"/>
      <c r="M24" s="88"/>
      <c r="N24" s="86"/>
      <c r="O24" s="85"/>
      <c r="P24" s="87"/>
      <c r="Q24" s="85">
        <f t="shared" si="0"/>
        <v>0</v>
      </c>
      <c r="R24" s="86">
        <f t="shared" si="1"/>
        <v>0</v>
      </c>
      <c r="S24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4" s="84">
        <f>IF(_TrackerTable[[#This Row],[Planned
Allocation
(in USD)]]&gt;0,_TrackerTable[[#This Row],[Total Cost
(in USD)]]/_TrackerTable[[#This Row],[Planned
Allocation
(in USD)]],0)</f>
        <v>0</v>
      </c>
      <c r="U24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4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4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4" s="83">
        <f>_TrackerTable[[#This Row],[Current Price
(in USD)]]*_TrackerTable[[#This Row],[Quantity]]</f>
        <v>0</v>
      </c>
      <c r="Y24" s="82">
        <f>IF(_TrackerTable[[#Totals],[Market Value
(in USD)]]&gt;0,_TrackerTable[[#This Row],[Market Value
(in USD)]]/_TrackerTable[[#Totals],[Market Value
(in USD)]],0)</f>
        <v>0</v>
      </c>
      <c r="Z24" s="81">
        <f t="shared" si="2"/>
        <v>0</v>
      </c>
      <c r="AA24" s="83">
        <f t="shared" si="3"/>
        <v>0</v>
      </c>
      <c r="AB24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4" s="81">
        <f>IF(R24&gt;0,(X24-R24)/R24+_TrackerTable[[#This Row],[Total Dividend Received
(% of Total Cost)]],0)</f>
        <v>0</v>
      </c>
    </row>
    <row r="25" spans="2:34" s="80" customFormat="1" ht="39.9" customHeight="1" x14ac:dyDescent="0.2">
      <c r="B25" s="56">
        <v>17</v>
      </c>
      <c r="C25" s="57"/>
      <c r="D25" s="71"/>
      <c r="E25" s="92"/>
      <c r="F25" s="92"/>
      <c r="G25" s="92"/>
      <c r="H25" s="91"/>
      <c r="I25" s="93"/>
      <c r="J25" s="90"/>
      <c r="K25" s="89"/>
      <c r="L25" s="83"/>
      <c r="M25" s="88"/>
      <c r="N25" s="86"/>
      <c r="O25" s="85"/>
      <c r="P25" s="87"/>
      <c r="Q25" s="85">
        <f t="shared" si="0"/>
        <v>0</v>
      </c>
      <c r="R25" s="86">
        <f t="shared" si="1"/>
        <v>0</v>
      </c>
      <c r="S25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5" s="84">
        <f>IF(_TrackerTable[[#This Row],[Planned
Allocation
(in USD)]]&gt;0,_TrackerTable[[#This Row],[Total Cost
(in USD)]]/_TrackerTable[[#This Row],[Planned
Allocation
(in USD)]],0)</f>
        <v>0</v>
      </c>
      <c r="U25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5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5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5" s="83">
        <f>_TrackerTable[[#This Row],[Current Price
(in USD)]]*_TrackerTable[[#This Row],[Quantity]]</f>
        <v>0</v>
      </c>
      <c r="Y25" s="82">
        <f>IF(_TrackerTable[[#Totals],[Market Value
(in USD)]]&gt;0,_TrackerTable[[#This Row],[Market Value
(in USD)]]/_TrackerTable[[#Totals],[Market Value
(in USD)]],0)</f>
        <v>0</v>
      </c>
      <c r="Z25" s="81">
        <f t="shared" si="2"/>
        <v>0</v>
      </c>
      <c r="AA25" s="83">
        <f t="shared" si="3"/>
        <v>0</v>
      </c>
      <c r="AB25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5" s="81">
        <f>IF(R25&gt;0,(X25-R25)/R25+_TrackerTable[[#This Row],[Total Dividend Received
(% of Total Cost)]],0)</f>
        <v>0</v>
      </c>
    </row>
    <row r="26" spans="2:34" s="80" customFormat="1" ht="39.9" customHeight="1" x14ac:dyDescent="0.2">
      <c r="B26" s="56">
        <v>18</v>
      </c>
      <c r="C26" s="57"/>
      <c r="D26" s="71"/>
      <c r="E26" s="92"/>
      <c r="F26" s="92"/>
      <c r="G26" s="92"/>
      <c r="H26" s="91"/>
      <c r="I26" s="93"/>
      <c r="J26" s="90"/>
      <c r="K26" s="89"/>
      <c r="L26" s="83"/>
      <c r="M26" s="88"/>
      <c r="N26" s="86"/>
      <c r="O26" s="85"/>
      <c r="P26" s="87"/>
      <c r="Q26" s="85">
        <f t="shared" si="0"/>
        <v>0</v>
      </c>
      <c r="R26" s="86">
        <f t="shared" si="1"/>
        <v>0</v>
      </c>
      <c r="S26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6" s="84">
        <f>IF(_TrackerTable[[#This Row],[Planned
Allocation
(in USD)]]&gt;0,_TrackerTable[[#This Row],[Total Cost
(in USD)]]/_TrackerTable[[#This Row],[Planned
Allocation
(in USD)]],0)</f>
        <v>0</v>
      </c>
      <c r="U26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6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6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6" s="83">
        <f>_TrackerTable[[#This Row],[Current Price
(in USD)]]*_TrackerTable[[#This Row],[Quantity]]</f>
        <v>0</v>
      </c>
      <c r="Y26" s="82">
        <f>IF(_TrackerTable[[#Totals],[Market Value
(in USD)]]&gt;0,_TrackerTable[[#This Row],[Market Value
(in USD)]]/_TrackerTable[[#Totals],[Market Value
(in USD)]],0)</f>
        <v>0</v>
      </c>
      <c r="Z26" s="81">
        <f t="shared" si="2"/>
        <v>0</v>
      </c>
      <c r="AA26" s="83">
        <f t="shared" si="3"/>
        <v>0</v>
      </c>
      <c r="AB26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6" s="81">
        <f>IF(R26&gt;0,(X26-R26)/R26+_TrackerTable[[#This Row],[Total Dividend Received
(% of Total Cost)]],0)</f>
        <v>0</v>
      </c>
    </row>
    <row r="27" spans="2:34" s="80" customFormat="1" ht="39.9" customHeight="1" x14ac:dyDescent="0.2">
      <c r="B27" s="56">
        <v>19</v>
      </c>
      <c r="C27" s="57"/>
      <c r="D27" s="71"/>
      <c r="E27" s="92"/>
      <c r="F27" s="92"/>
      <c r="G27" s="92"/>
      <c r="H27" s="91"/>
      <c r="I27" s="93"/>
      <c r="J27" s="90"/>
      <c r="K27" s="89"/>
      <c r="L27" s="83"/>
      <c r="M27" s="88"/>
      <c r="N27" s="86"/>
      <c r="O27" s="85"/>
      <c r="P27" s="87"/>
      <c r="Q27" s="85">
        <f t="shared" si="0"/>
        <v>0</v>
      </c>
      <c r="R27" s="86">
        <f t="shared" si="1"/>
        <v>0</v>
      </c>
      <c r="S27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7" s="84">
        <f>IF(_TrackerTable[[#This Row],[Planned
Allocation
(in USD)]]&gt;0,_TrackerTable[[#This Row],[Total Cost
(in USD)]]/_TrackerTable[[#This Row],[Planned
Allocation
(in USD)]],0)</f>
        <v>0</v>
      </c>
      <c r="U27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7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7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7" s="83">
        <f>_TrackerTable[[#This Row],[Current Price
(in USD)]]*_TrackerTable[[#This Row],[Quantity]]</f>
        <v>0</v>
      </c>
      <c r="Y27" s="82">
        <f>IF(_TrackerTable[[#Totals],[Market Value
(in USD)]]&gt;0,_TrackerTable[[#This Row],[Market Value
(in USD)]]/_TrackerTable[[#Totals],[Market Value
(in USD)]],0)</f>
        <v>0</v>
      </c>
      <c r="Z27" s="81">
        <f t="shared" si="2"/>
        <v>0</v>
      </c>
      <c r="AA27" s="83">
        <f t="shared" si="3"/>
        <v>0</v>
      </c>
      <c r="AB27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7" s="81">
        <f>IF(R27&gt;0,(X27-R27)/R27+_TrackerTable[[#This Row],[Total Dividend Received
(% of Total Cost)]],0)</f>
        <v>0</v>
      </c>
    </row>
    <row r="28" spans="2:34" s="80" customFormat="1" ht="39.9" customHeight="1" x14ac:dyDescent="0.2">
      <c r="B28" s="56">
        <v>20</v>
      </c>
      <c r="C28" s="57"/>
      <c r="D28" s="71"/>
      <c r="E28" s="92"/>
      <c r="F28" s="92"/>
      <c r="G28" s="92"/>
      <c r="H28" s="91"/>
      <c r="I28" s="93"/>
      <c r="J28" s="90"/>
      <c r="K28" s="89"/>
      <c r="L28" s="83"/>
      <c r="M28" s="88"/>
      <c r="N28" s="86"/>
      <c r="O28" s="85"/>
      <c r="P28" s="87"/>
      <c r="Q28" s="85">
        <f t="shared" si="0"/>
        <v>0</v>
      </c>
      <c r="R28" s="86">
        <f t="shared" si="1"/>
        <v>0</v>
      </c>
      <c r="S28" s="85">
        <f>IF((_TrackerTable[[#This Row],[Exchange Rate 
(1 USD to xxx Listed Currency)]]&gt;0),_TrackerTable[[#This Row],[Planned Allocation
(in Listed Currency)]]/_TrackerTable[[#This Row],[Exchange Rate 
(1 USD to xxx Listed Currency)]],_TrackerTable[[#This Row],[Planned Allocation
(in Listed Currency)]]/1)</f>
        <v>0</v>
      </c>
      <c r="T28" s="84">
        <f>IF(_TrackerTable[[#This Row],[Planned
Allocation
(in USD)]]&gt;0,_TrackerTable[[#This Row],[Total Cost
(in USD)]]/_TrackerTable[[#This Row],[Planned
Allocation
(in USD)]],0)</f>
        <v>0</v>
      </c>
      <c r="U28" s="83" t="str">
        <f>IF(AND(_TrackerTable[[#This Row],[Exchange Rate 
(1 USD to xxx Listed Currency)]]&gt;0,_TrackerTable[[#This Row],[Intrinsic Value
(in Listed Currency)]]&gt;0,_TrackerTable[[#This Row],[Intrinsic Value
(in Listed Currency)]]&lt;&gt;"NA"),_TrackerTable[[#This Row],[Intrinsic Value
(in Listed Currency)]]/_TrackerTable[[#This Row],[Exchange Rate 
(1 USD to xxx Listed Currency)]],"NA")</f>
        <v>NA</v>
      </c>
      <c r="V28" s="82" t="str">
        <f>IF(AND(_TrackerTable[[#This Row],[Intrinsic Value
(in USD)]]&lt;&gt;"",_TrackerTable[[#This Row],[Intrinsic Value
(in USD)]]&lt;&gt;"NA"),(_TrackerTable[[#This Row],[Current Price
(in USD)]]-_TrackerTable[[#This Row],[Intrinsic Value
(in USD)]])/_TrackerTable[[#This Row],[Intrinsic Value
(in USD)]], "NA")</f>
        <v>NA</v>
      </c>
      <c r="W28" s="331">
        <f>IF(_TrackerTable[[#This Row],[Exchange Rate 
(1 USD to xxx Listed Currency)]]&gt;0,_TrackerTable[[#This Row],[Current  Price
(in Listed Currency)]]/_TrackerTable[[#This Row],[Exchange Rate 
(1 USD to xxx Listed Currency)]],0)</f>
        <v>0</v>
      </c>
      <c r="X28" s="83">
        <f>_TrackerTable[[#This Row],[Current Price
(in USD)]]*_TrackerTable[[#This Row],[Quantity]]</f>
        <v>0</v>
      </c>
      <c r="Y28" s="82">
        <f>IF(_TrackerTable[[#Totals],[Market Value
(in USD)]]&gt;0,_TrackerTable[[#This Row],[Market Value
(in USD)]]/_TrackerTable[[#Totals],[Market Value
(in USD)]],0)</f>
        <v>0</v>
      </c>
      <c r="Z28" s="81">
        <f t="shared" si="2"/>
        <v>0</v>
      </c>
      <c r="AA28" s="83">
        <f t="shared" si="3"/>
        <v>0</v>
      </c>
      <c r="AB28" s="82">
        <f>IF(AND(_TrackerTable[[#This Row],[Total Dividend Received
(in USD)]]&gt;0,_TrackerTable[[#This Row],[Total Dividend Received
(in USD)]]&lt;&gt;"NA"),_TrackerTable[[#This Row],[Total Dividend Received
(in USD)]]/_TrackerTable[[#This Row],[Total Cost
(in USD)]],0)</f>
        <v>0</v>
      </c>
      <c r="AC28" s="81">
        <f>IF(R28&gt;0,(X28-R28)/R28+_TrackerTable[[#This Row],[Total Dividend Received
(% of Total Cost)]],0)</f>
        <v>0</v>
      </c>
    </row>
    <row r="29" spans="2:34" s="80" customFormat="1" ht="39.9" customHeight="1" x14ac:dyDescent="0.3">
      <c r="B29" s="274"/>
      <c r="C29" s="275"/>
      <c r="D29" s="275"/>
      <c r="E29" s="276"/>
      <c r="F29" s="274"/>
      <c r="G29" s="274"/>
      <c r="H29" s="274"/>
      <c r="I29" s="277"/>
      <c r="J29" s="278"/>
      <c r="K29" s="279"/>
      <c r="L29" s="278"/>
      <c r="M29" s="280"/>
      <c r="N29" s="278"/>
      <c r="O29" s="278"/>
      <c r="P29" s="278"/>
      <c r="Q29" s="278" t="s">
        <v>57</v>
      </c>
      <c r="R29" s="278">
        <f>SUBTOTAL(109,_TrackerTable[Total Cost
(in USD)])</f>
        <v>5725.8964613880744</v>
      </c>
      <c r="S29" s="278">
        <f>SUBTOTAL(109,_TrackerTable[Planned
Allocation
(in USD)])</f>
        <v>8072.0918866080156</v>
      </c>
      <c r="T29" s="281"/>
      <c r="U29" s="278"/>
      <c r="V29" s="281"/>
      <c r="W29" s="278"/>
      <c r="X29" s="278">
        <f>SUBTOTAL(109,_TrackerTable[Market Value
(in USD)])</f>
        <v>7066.6100097751714</v>
      </c>
      <c r="Y29" s="281">
        <f>SUBTOTAL(109,_TrackerTable[% of Portfolio
(by Market Value)])</f>
        <v>1</v>
      </c>
      <c r="Z29" s="281"/>
      <c r="AA29" s="278">
        <f>SUBTOTAL(109,_TrackerTable[Total Dividend Received
(in USD)])</f>
        <v>666.66666666666663</v>
      </c>
      <c r="AB29" s="281"/>
      <c r="AC29" s="282"/>
    </row>
    <row r="30" spans="2:34" s="77" customFormat="1" x14ac:dyDescent="0.3">
      <c r="B30" s="405" t="s">
        <v>141</v>
      </c>
      <c r="C30" s="405"/>
      <c r="D30" s="405"/>
      <c r="E30" s="405"/>
      <c r="F30" s="405"/>
      <c r="G30" s="217"/>
      <c r="H30" s="217"/>
      <c r="I30" s="255"/>
      <c r="J30" s="256"/>
      <c r="K30" s="257"/>
      <c r="L30" s="256"/>
      <c r="M30" s="258"/>
      <c r="N30" s="256"/>
      <c r="O30" s="259"/>
      <c r="P30" s="256"/>
      <c r="Q30" s="256"/>
      <c r="R30" s="256"/>
      <c r="S30" s="256"/>
      <c r="T30" s="260"/>
      <c r="U30" s="258"/>
      <c r="V30" s="256"/>
      <c r="W30" s="260"/>
      <c r="X30" s="256"/>
      <c r="Y30" s="258"/>
      <c r="Z30" s="258"/>
      <c r="AA30" s="260"/>
      <c r="AB30" s="256"/>
      <c r="AC30" s="260"/>
      <c r="AD30" s="79"/>
      <c r="AE30" s="79"/>
      <c r="AG30" s="78"/>
      <c r="AH30" s="78"/>
    </row>
    <row r="31" spans="2:34" x14ac:dyDescent="0.3">
      <c r="B31" s="405"/>
      <c r="C31" s="405"/>
      <c r="D31" s="405"/>
      <c r="E31" s="405"/>
      <c r="F31" s="405"/>
      <c r="G31" s="217"/>
      <c r="H31" s="217"/>
      <c r="I31" s="261"/>
      <c r="J31" s="262"/>
      <c r="K31" s="263"/>
      <c r="L31" s="262"/>
      <c r="M31" s="217"/>
      <c r="N31" s="262"/>
      <c r="O31" s="217"/>
      <c r="P31" s="262"/>
      <c r="Q31" s="262"/>
      <c r="R31" s="262"/>
      <c r="S31" s="262"/>
      <c r="T31" s="218"/>
      <c r="U31" s="217"/>
      <c r="V31" s="262"/>
      <c r="W31" s="218"/>
      <c r="X31" s="262"/>
      <c r="Y31" s="217"/>
      <c r="Z31" s="217"/>
      <c r="AA31" s="218"/>
      <c r="AB31" s="262"/>
      <c r="AC31" s="218"/>
    </row>
    <row r="32" spans="2:34" x14ac:dyDescent="0.3">
      <c r="B32" s="405"/>
      <c r="C32" s="405"/>
      <c r="D32" s="405"/>
      <c r="E32" s="405"/>
      <c r="F32" s="405"/>
      <c r="G32" s="217"/>
      <c r="H32" s="217"/>
      <c r="I32" s="261"/>
      <c r="J32" s="262"/>
      <c r="K32" s="263"/>
      <c r="L32" s="262"/>
      <c r="M32" s="217"/>
      <c r="N32" s="262"/>
      <c r="O32" s="217"/>
      <c r="P32" s="262"/>
      <c r="Q32" s="262"/>
      <c r="R32" s="262"/>
      <c r="S32" s="262"/>
      <c r="T32" s="218"/>
      <c r="U32" s="217"/>
      <c r="V32" s="262"/>
      <c r="W32" s="218"/>
      <c r="X32" s="262"/>
      <c r="Y32" s="217"/>
      <c r="Z32" s="217"/>
      <c r="AA32" s="218"/>
      <c r="AB32" s="262"/>
      <c r="AC32" s="218"/>
    </row>
    <row r="33" spans="2:29" x14ac:dyDescent="0.3">
      <c r="B33" s="405"/>
      <c r="C33" s="405"/>
      <c r="D33" s="405"/>
      <c r="E33" s="405"/>
      <c r="F33" s="405"/>
      <c r="G33" s="217"/>
      <c r="H33" s="217"/>
      <c r="I33" s="261"/>
      <c r="J33" s="262"/>
      <c r="K33" s="263"/>
      <c r="L33" s="262"/>
      <c r="M33" s="217"/>
      <c r="N33" s="262"/>
      <c r="O33" s="217"/>
      <c r="P33" s="262"/>
      <c r="Q33" s="262"/>
      <c r="R33" s="262"/>
      <c r="S33" s="262"/>
      <c r="T33" s="218"/>
      <c r="U33" s="217"/>
      <c r="V33" s="262"/>
      <c r="W33" s="218"/>
      <c r="X33" s="262"/>
      <c r="Y33" s="217"/>
      <c r="Z33" s="217"/>
      <c r="AA33" s="218"/>
      <c r="AB33" s="262"/>
      <c r="AC33" s="218"/>
    </row>
    <row r="34" spans="2:29" x14ac:dyDescent="0.3">
      <c r="B34" s="405"/>
      <c r="C34" s="405"/>
      <c r="D34" s="405"/>
      <c r="E34" s="405"/>
      <c r="F34" s="405"/>
      <c r="G34" s="217"/>
      <c r="H34" s="217"/>
      <c r="I34" s="261"/>
      <c r="J34" s="262"/>
      <c r="K34" s="263"/>
      <c r="L34" s="262"/>
      <c r="M34" s="217"/>
      <c r="N34" s="262"/>
      <c r="O34" s="217"/>
      <c r="P34" s="262"/>
      <c r="Q34" s="262"/>
      <c r="R34" s="262"/>
      <c r="S34" s="262"/>
      <c r="T34" s="218"/>
      <c r="U34" s="217"/>
      <c r="V34" s="262"/>
      <c r="W34" s="218"/>
      <c r="X34" s="262"/>
      <c r="Y34" s="217"/>
      <c r="Z34" s="217"/>
      <c r="AA34" s="218"/>
      <c r="AB34" s="262"/>
      <c r="AC34" s="218"/>
    </row>
    <row r="35" spans="2:29" x14ac:dyDescent="0.3">
      <c r="B35" s="405"/>
      <c r="C35" s="405"/>
      <c r="D35" s="405"/>
      <c r="E35" s="405"/>
      <c r="F35" s="405"/>
      <c r="G35" s="217"/>
      <c r="H35" s="217"/>
      <c r="I35" s="261"/>
      <c r="J35" s="262"/>
      <c r="K35" s="263"/>
      <c r="L35" s="262"/>
      <c r="M35" s="217"/>
      <c r="N35" s="262"/>
      <c r="O35" s="217"/>
      <c r="P35" s="262"/>
      <c r="Q35" s="262"/>
      <c r="R35" s="262"/>
      <c r="S35" s="262"/>
      <c r="T35" s="218"/>
      <c r="U35" s="217"/>
      <c r="V35" s="262"/>
      <c r="W35" s="218"/>
      <c r="X35" s="262"/>
      <c r="Y35" s="217"/>
      <c r="Z35" s="217"/>
      <c r="AA35" s="218"/>
      <c r="AB35" s="262"/>
      <c r="AC35" s="218"/>
    </row>
    <row r="36" spans="2:29" x14ac:dyDescent="0.3">
      <c r="B36" s="405"/>
      <c r="C36" s="405"/>
      <c r="D36" s="405"/>
      <c r="E36" s="405"/>
      <c r="F36" s="405"/>
      <c r="G36" s="217"/>
      <c r="H36" s="217"/>
      <c r="I36" s="261"/>
      <c r="J36" s="262"/>
      <c r="K36" s="263"/>
      <c r="L36" s="262"/>
      <c r="M36" s="217"/>
      <c r="N36" s="262"/>
      <c r="O36" s="217"/>
      <c r="P36" s="262"/>
      <c r="Q36" s="262"/>
      <c r="R36" s="262"/>
      <c r="S36" s="262"/>
      <c r="T36" s="218"/>
      <c r="U36" s="217"/>
      <c r="V36" s="262"/>
      <c r="W36" s="218"/>
      <c r="X36" s="262"/>
      <c r="Y36" s="217"/>
      <c r="Z36" s="217"/>
      <c r="AA36" s="218"/>
      <c r="AB36" s="262"/>
      <c r="AC36" s="218"/>
    </row>
    <row r="37" spans="2:29" x14ac:dyDescent="0.3">
      <c r="B37" s="217"/>
      <c r="C37" s="217"/>
      <c r="D37" s="217"/>
      <c r="E37" s="218"/>
      <c r="F37" s="217"/>
      <c r="G37" s="217"/>
      <c r="H37" s="217"/>
      <c r="I37" s="261"/>
      <c r="J37" s="262"/>
      <c r="K37" s="263"/>
      <c r="L37" s="262"/>
      <c r="M37" s="217"/>
      <c r="N37" s="262"/>
      <c r="O37" s="217"/>
      <c r="P37" s="262"/>
      <c r="Q37" s="262"/>
      <c r="R37" s="262"/>
      <c r="S37" s="262"/>
      <c r="T37" s="218"/>
      <c r="U37" s="217"/>
      <c r="V37" s="262"/>
      <c r="W37" s="218"/>
      <c r="X37" s="262"/>
      <c r="Y37" s="217"/>
      <c r="Z37" s="217"/>
      <c r="AA37" s="218"/>
      <c r="AB37" s="262"/>
      <c r="AC37" s="218"/>
    </row>
    <row r="38" spans="2:29" x14ac:dyDescent="0.3">
      <c r="B38" s="217"/>
      <c r="C38" s="217"/>
      <c r="D38" s="217"/>
      <c r="E38" s="218"/>
      <c r="F38" s="217"/>
      <c r="G38" s="217"/>
      <c r="H38" s="217"/>
      <c r="I38" s="261"/>
      <c r="J38" s="262"/>
      <c r="K38" s="263"/>
      <c r="L38" s="262"/>
      <c r="M38" s="217"/>
      <c r="N38" s="262"/>
      <c r="O38" s="217"/>
      <c r="P38" s="262"/>
      <c r="Q38" s="262"/>
      <c r="R38" s="262"/>
      <c r="S38" s="262"/>
      <c r="T38" s="218"/>
      <c r="U38" s="217"/>
      <c r="V38" s="262"/>
      <c r="W38" s="218"/>
      <c r="X38" s="262"/>
      <c r="Y38" s="217"/>
      <c r="Z38" s="217"/>
      <c r="AA38" s="218"/>
      <c r="AB38" s="262"/>
      <c r="AC38" s="218"/>
    </row>
  </sheetData>
  <mergeCells count="1">
    <mergeCell ref="B30:F36"/>
  </mergeCells>
  <conditionalFormatting sqref="E13:G28">
    <cfRule type="cellIs" dxfId="8" priority="1" stopIfTrue="1" operator="equal">
      <formula>"NA"</formula>
    </cfRule>
  </conditionalFormatting>
  <conditionalFormatting sqref="H13:I13">
    <cfRule type="cellIs" dxfId="7" priority="6" stopIfTrue="1" operator="equal">
      <formula>"NA"</formula>
    </cfRule>
  </conditionalFormatting>
  <conditionalFormatting sqref="J13:O13">
    <cfRule type="cellIs" dxfId="6" priority="5" stopIfTrue="1" operator="equal">
      <formula>"NA"</formula>
    </cfRule>
  </conditionalFormatting>
  <conditionalFormatting sqref="P13">
    <cfRule type="cellIs" dxfId="5" priority="4" stopIfTrue="1" operator="equal">
      <formula>"NA"</formula>
    </cfRule>
  </conditionalFormatting>
  <conditionalFormatting sqref="Q9:AC13 H14:AC28 C9:P12 A9:B13 C13:D13 A14:D28 A29:AC29">
    <cfRule type="cellIs" dxfId="4" priority="12" stopIfTrue="1" operator="equal">
      <formula>"NA"</formula>
    </cfRule>
  </conditionalFormatting>
  <conditionalFormatting sqref="T9:T28">
    <cfRule type="cellIs" dxfId="3" priority="10" operator="lessThan">
      <formula>0.75</formula>
    </cfRule>
    <cfRule type="cellIs" dxfId="2" priority="11" operator="greaterThan">
      <formula>1</formula>
    </cfRule>
  </conditionalFormatting>
  <conditionalFormatting sqref="V9:V28">
    <cfRule type="cellIs" dxfId="1" priority="8" operator="lessThan">
      <formula>0</formula>
    </cfRule>
    <cfRule type="cellIs" dxfId="0" priority="9" operator="greater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J13:J28" calculatedColumn="1"/>
  </ignoredErrors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D2769C-E2A0-4A0C-B848-C132899CA841}">
          <x14:formula1>
            <xm:f>'Custom Parameters'!$B$5:$B$17</xm:f>
          </x14:formula1>
          <xm:sqref>E9:E28</xm:sqref>
        </x14:dataValidation>
        <x14:dataValidation type="list" allowBlank="1" showInputMessage="1" showErrorMessage="1" xr:uid="{561F7F62-EB6B-4386-8D76-D4D265FC1E84}">
          <x14:formula1>
            <xm:f>'Custom Parameters'!$B$19:$B$23</xm:f>
          </x14:formula1>
          <xm:sqref>G9:G28</xm:sqref>
        </x14:dataValidation>
        <x14:dataValidation type="list" allowBlank="1" showInputMessage="1" showErrorMessage="1" xr:uid="{743F1C44-0AB5-4440-A408-FCB99B3523BF}">
          <x14:formula1>
            <xm:f>'Custom Parameters'!$B$25:$B$33</xm:f>
          </x14:formula1>
          <xm:sqref>F9:F28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33"/>
  <sheetViews>
    <sheetView workbookViewId="0">
      <selection activeCell="B2" sqref="B2"/>
    </sheetView>
  </sheetViews>
  <sheetFormatPr defaultColWidth="8.36328125" defaultRowHeight="15.6" outlineLevelRow="1" x14ac:dyDescent="0.3"/>
  <cols>
    <col min="1" max="1" width="3" style="49" customWidth="1"/>
    <col min="2" max="2" width="64.6328125" style="49" bestFit="1" customWidth="1"/>
    <col min="3" max="16384" width="8.36328125" style="49"/>
  </cols>
  <sheetData>
    <row r="2" spans="2:2" ht="31.2" x14ac:dyDescent="0.3">
      <c r="B2" s="104" t="s">
        <v>128</v>
      </c>
    </row>
    <row r="4" spans="2:2" ht="22.5" customHeight="1" x14ac:dyDescent="0.3">
      <c r="B4" s="264" t="s">
        <v>101</v>
      </c>
    </row>
    <row r="5" spans="2:2" ht="18.75" customHeight="1" outlineLevel="1" x14ac:dyDescent="0.3">
      <c r="B5" s="265" t="s">
        <v>127</v>
      </c>
    </row>
    <row r="6" spans="2:2" ht="18.75" customHeight="1" outlineLevel="1" x14ac:dyDescent="0.3">
      <c r="B6" s="265" t="s">
        <v>126</v>
      </c>
    </row>
    <row r="7" spans="2:2" ht="18.75" customHeight="1" outlineLevel="1" x14ac:dyDescent="0.3">
      <c r="B7" s="265" t="s">
        <v>125</v>
      </c>
    </row>
    <row r="8" spans="2:2" ht="18.75" customHeight="1" outlineLevel="1" x14ac:dyDescent="0.3">
      <c r="B8" s="265" t="s">
        <v>124</v>
      </c>
    </row>
    <row r="9" spans="2:2" ht="18.75" customHeight="1" outlineLevel="1" x14ac:dyDescent="0.3">
      <c r="B9" s="265" t="s">
        <v>123</v>
      </c>
    </row>
    <row r="10" spans="2:2" ht="18.75" customHeight="1" outlineLevel="1" x14ac:dyDescent="0.3">
      <c r="B10" s="265" t="s">
        <v>56</v>
      </c>
    </row>
    <row r="11" spans="2:2" ht="18.75" customHeight="1" outlineLevel="1" x14ac:dyDescent="0.3">
      <c r="B11" s="265" t="s">
        <v>122</v>
      </c>
    </row>
    <row r="12" spans="2:2" ht="18.75" customHeight="1" outlineLevel="1" x14ac:dyDescent="0.3">
      <c r="B12" s="265" t="s">
        <v>121</v>
      </c>
    </row>
    <row r="13" spans="2:2" ht="18.75" customHeight="1" outlineLevel="1" x14ac:dyDescent="0.3">
      <c r="B13" s="265" t="s">
        <v>120</v>
      </c>
    </row>
    <row r="14" spans="2:2" ht="18.75" customHeight="1" outlineLevel="1" x14ac:dyDescent="0.3">
      <c r="B14" s="265" t="s">
        <v>76</v>
      </c>
    </row>
    <row r="15" spans="2:2" ht="18.75" customHeight="1" outlineLevel="1" x14ac:dyDescent="0.3">
      <c r="B15" s="265" t="s">
        <v>55</v>
      </c>
    </row>
    <row r="16" spans="2:2" ht="18.75" customHeight="1" outlineLevel="1" x14ac:dyDescent="0.3">
      <c r="B16" s="265" t="s">
        <v>119</v>
      </c>
    </row>
    <row r="17" spans="2:2" ht="18.75" customHeight="1" outlineLevel="1" x14ac:dyDescent="0.3">
      <c r="B17" s="266"/>
    </row>
    <row r="18" spans="2:2" ht="22.5" customHeight="1" x14ac:dyDescent="0.3">
      <c r="B18" s="264" t="s">
        <v>67</v>
      </c>
    </row>
    <row r="19" spans="2:2" ht="18.75" customHeight="1" outlineLevel="1" x14ac:dyDescent="0.3">
      <c r="B19" s="265" t="s">
        <v>63</v>
      </c>
    </row>
    <row r="20" spans="2:2" ht="18.75" customHeight="1" outlineLevel="1" x14ac:dyDescent="0.3">
      <c r="B20" s="265" t="s">
        <v>62</v>
      </c>
    </row>
    <row r="21" spans="2:2" ht="18.75" customHeight="1" outlineLevel="1" x14ac:dyDescent="0.3">
      <c r="B21" s="265" t="s">
        <v>61</v>
      </c>
    </row>
    <row r="22" spans="2:2" ht="18.75" customHeight="1" outlineLevel="1" x14ac:dyDescent="0.3">
      <c r="B22" s="265" t="s">
        <v>60</v>
      </c>
    </row>
    <row r="23" spans="2:2" ht="18.75" customHeight="1" outlineLevel="1" x14ac:dyDescent="0.3">
      <c r="B23" s="267"/>
    </row>
    <row r="24" spans="2:2" ht="22.5" customHeight="1" x14ac:dyDescent="0.3">
      <c r="B24" s="264" t="s">
        <v>70</v>
      </c>
    </row>
    <row r="25" spans="2:2" ht="19.5" customHeight="1" outlineLevel="1" x14ac:dyDescent="0.3">
      <c r="B25" s="265" t="s">
        <v>54</v>
      </c>
    </row>
    <row r="26" spans="2:2" ht="19.5" customHeight="1" outlineLevel="1" x14ac:dyDescent="0.3">
      <c r="B26" s="265" t="s">
        <v>69</v>
      </c>
    </row>
    <row r="27" spans="2:2" ht="19.5" customHeight="1" outlineLevel="1" x14ac:dyDescent="0.3">
      <c r="B27" s="265" t="s">
        <v>107</v>
      </c>
    </row>
    <row r="28" spans="2:2" ht="19.5" customHeight="1" outlineLevel="1" x14ac:dyDescent="0.3">
      <c r="B28" s="265" t="s">
        <v>53</v>
      </c>
    </row>
    <row r="29" spans="2:2" ht="19.5" customHeight="1" outlineLevel="1" x14ac:dyDescent="0.3">
      <c r="B29" s="265" t="s">
        <v>176</v>
      </c>
    </row>
    <row r="30" spans="2:2" ht="19.5" customHeight="1" outlineLevel="1" x14ac:dyDescent="0.3">
      <c r="B30" s="265" t="s">
        <v>52</v>
      </c>
    </row>
    <row r="31" spans="2:2" ht="19.5" customHeight="1" outlineLevel="1" x14ac:dyDescent="0.3">
      <c r="B31" s="265" t="s">
        <v>177</v>
      </c>
    </row>
    <row r="32" spans="2:2" ht="19.5" customHeight="1" outlineLevel="1" x14ac:dyDescent="0.3">
      <c r="B32" s="265" t="s">
        <v>178</v>
      </c>
    </row>
    <row r="33" spans="2:2" ht="19.5" customHeight="1" outlineLevel="1" x14ac:dyDescent="0.3">
      <c r="B33" s="266"/>
    </row>
  </sheetData>
  <sortState xmlns:xlrd2="http://schemas.microsoft.com/office/spreadsheetml/2017/richdata2" ref="B25:B32">
    <sortCondition ref="B25:B3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VMI Calculator (10 years)</vt:lpstr>
      <vt:lpstr>VMI Calculator (20 years)</vt:lpstr>
      <vt:lpstr>VMI Dashboard</vt:lpstr>
      <vt:lpstr>VMI Portfolio Manager</vt:lpstr>
      <vt:lpstr>Custom Parameters</vt:lpstr>
      <vt:lpstr>'VMI Calculator (10 years)'!Print_Area</vt:lpstr>
      <vt:lpstr>'VMI Calculator (20 years)'!Print_Area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Thành Vĩnh</cp:lastModifiedBy>
  <dcterms:created xsi:type="dcterms:W3CDTF">2007-04-04T13:06:54Z</dcterms:created>
  <dcterms:modified xsi:type="dcterms:W3CDTF">2023-07-01T06:50:56Z</dcterms:modified>
</cp:coreProperties>
</file>