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ic\OneDrive\Desktop\"/>
    </mc:Choice>
  </mc:AlternateContent>
  <xr:revisionPtr revIDLastSave="0" documentId="13_ncr:1_{60666341-3BD9-479F-8C8F-69502AF82118}" xr6:coauthVersionLast="47" xr6:coauthVersionMax="47" xr10:uidLastSave="{00000000-0000-0000-0000-000000000000}"/>
  <bookViews>
    <workbookView xWindow="-120" yWindow="-120" windowWidth="20730" windowHeight="11160" tabRatio="781" xr2:uid="{87BE7180-3E81-4FE5-B433-FFDBA552102C}"/>
  </bookViews>
  <sheets>
    <sheet name="Dashboard" sheetId="31" r:id="rId1"/>
    <sheet name="Produtos" sheetId="2" r:id="rId2"/>
    <sheet name="Fornecedor" sheetId="3" r:id="rId3"/>
    <sheet name="Entradas" sheetId="4" r:id="rId4"/>
    <sheet name="Saídas" sheetId="5" r:id="rId5"/>
    <sheet name="Visão Produtos" sheetId="36" state="hidden" r:id="rId6"/>
    <sheet name="Controle de Estoque" sheetId="7" state="hidden" r:id="rId7"/>
    <sheet name="Consulta" sheetId="6" state="hidden" r:id="rId8"/>
    <sheet name="Quadro de Resumo" sheetId="8" state="hidden" r:id="rId9"/>
    <sheet name="Base de Cálculos" sheetId="34" state="hidden" r:id="rId10"/>
    <sheet name="Desenhando o Dashboard" sheetId="37" state="hidden" r:id="rId11"/>
  </sheets>
  <definedNames>
    <definedName name="CriteriosConsultaProduto">'Quadro de Resumo'!$AM$7:$AM$8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4" l="1"/>
  <c r="S3" i="34"/>
  <c r="R3" i="34"/>
  <c r="K3" i="34"/>
  <c r="O4" i="34"/>
  <c r="O5" i="34"/>
  <c r="O6" i="34"/>
  <c r="O7" i="34"/>
  <c r="O8" i="34"/>
  <c r="O9" i="34"/>
  <c r="O10" i="34"/>
  <c r="O11" i="34"/>
  <c r="O12" i="34"/>
  <c r="O13" i="34"/>
  <c r="O14" i="34"/>
  <c r="O3" i="34"/>
  <c r="N4" i="34"/>
  <c r="N5" i="34"/>
  <c r="N6" i="34"/>
  <c r="N7" i="34"/>
  <c r="N8" i="34"/>
  <c r="N9" i="34"/>
  <c r="N10" i="34"/>
  <c r="N11" i="34"/>
  <c r="N12" i="34"/>
  <c r="N13" i="34"/>
  <c r="N14" i="34"/>
  <c r="N3" i="34"/>
  <c r="B6" i="4"/>
  <c r="I3" i="34" s="1"/>
  <c r="H3" i="34"/>
  <c r="G3" i="34"/>
  <c r="C11" i="34"/>
  <c r="B11" i="34" s="1"/>
  <c r="C15" i="34" l="1"/>
  <c r="B15" i="34" s="1"/>
  <c r="C14" i="34"/>
  <c r="B14" i="34" s="1"/>
  <c r="C13" i="34"/>
  <c r="B13" i="34" s="1"/>
  <c r="C12" i="34"/>
  <c r="B12" i="34" s="1"/>
  <c r="C2" i="36"/>
  <c r="I4" i="34"/>
  <c r="I5" i="34"/>
  <c r="I6" i="34"/>
  <c r="I7" i="34"/>
  <c r="I8" i="34"/>
  <c r="I9" i="34"/>
  <c r="I10" i="34"/>
  <c r="I11" i="34"/>
  <c r="I12" i="34"/>
  <c r="I13" i="34"/>
  <c r="I14" i="34"/>
  <c r="H4" i="34"/>
  <c r="H5" i="34"/>
  <c r="H6" i="34"/>
  <c r="H7" i="34"/>
  <c r="H8" i="34"/>
  <c r="H9" i="34"/>
  <c r="H10" i="34"/>
  <c r="H11" i="34"/>
  <c r="H12" i="34"/>
  <c r="H13" i="34"/>
  <c r="H14" i="34"/>
  <c r="G4" i="34"/>
  <c r="G5" i="34"/>
  <c r="G6" i="34"/>
  <c r="G7" i="34"/>
  <c r="G8" i="34"/>
  <c r="G9" i="34"/>
  <c r="G10" i="34"/>
  <c r="G11" i="34"/>
  <c r="G12" i="34"/>
  <c r="G13" i="34"/>
  <c r="G14" i="34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1" i="36"/>
  <c r="D4" i="34"/>
  <c r="B4" i="34" s="1"/>
  <c r="C4" i="34" s="1"/>
  <c r="D5" i="34"/>
  <c r="B5" i="34" s="1"/>
  <c r="C5" i="34" s="1"/>
  <c r="D6" i="34"/>
  <c r="B6" i="34" s="1"/>
  <c r="C6" i="34" s="1"/>
  <c r="D7" i="34"/>
  <c r="B7" i="34" s="1"/>
  <c r="C7" i="34" s="1"/>
  <c r="D3" i="34"/>
  <c r="B3" i="34" s="1"/>
  <c r="C3" i="34" s="1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1" i="36"/>
  <c r="A1" i="36" a="1"/>
  <c r="A1" i="36" s="1"/>
  <c r="BP4" i="31"/>
  <c r="AX4" i="31"/>
  <c r="AF4" i="31"/>
  <c r="C8" i="7"/>
  <c r="D8" i="7"/>
  <c r="F8" i="7"/>
  <c r="H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Q31" i="31" l="1"/>
  <c r="G31" i="31"/>
  <c r="E8" i="7"/>
  <c r="G8" i="7" s="1" a="1"/>
  <c r="G8" i="7" s="1"/>
  <c r="J8" i="7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Q37" i="31" l="1"/>
  <c r="G37" i="31"/>
  <c r="Q34" i="31"/>
  <c r="G34" i="31"/>
  <c r="G40" i="31"/>
  <c r="Q40" i="31"/>
  <c r="G43" i="31"/>
  <c r="Q43" i="31"/>
  <c r="B7" i="4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F6" i="5" a="1"/>
  <c r="F6" i="5" s="1"/>
  <c r="F11" i="5" l="1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G24" i="5"/>
  <c r="G25" i="5"/>
  <c r="G26" i="5"/>
  <c r="G29" i="5"/>
  <c r="G33" i="5"/>
  <c r="G34" i="5"/>
  <c r="G40" i="5"/>
  <c r="G41" i="5"/>
  <c r="G43" i="5"/>
  <c r="G44" i="5"/>
  <c r="G46" i="5"/>
  <c r="H13" i="7" s="1"/>
  <c r="G50" i="5"/>
  <c r="G53" i="5"/>
  <c r="G54" i="5"/>
  <c r="G55" i="5"/>
  <c r="G57" i="5"/>
  <c r="G58" i="5"/>
  <c r="G61" i="5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G53" i="4" a="1"/>
  <c r="G53" i="4" s="1"/>
  <c r="H53" i="4" s="1"/>
  <c r="G55" i="4" a="1"/>
  <c r="G55" i="4" s="1"/>
  <c r="H55" i="4" s="1"/>
  <c r="H11" i="7" l="1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J11" i="7" l="1"/>
  <c r="J10" i="7"/>
  <c r="J12" i="7"/>
  <c r="J9" i="7"/>
  <c r="J15" i="7"/>
  <c r="J14" i="7"/>
  <c r="AM20" i="8"/>
  <c r="AM23" i="8" s="1"/>
  <c r="J7" i="7"/>
  <c r="N20" i="8"/>
  <c r="N23" i="8" s="1"/>
  <c r="J6" i="7"/>
  <c r="N9" i="7" l="1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<sst xmlns="http://schemas.openxmlformats.org/spreadsheetml/2006/main" count="375" uniqueCount="126">
  <si>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</si>
  <si>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</si>
  <si>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</si>
  <si>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</si>
  <si>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</si>
  <si>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</si>
  <si>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</si>
  <si>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</si>
  <si>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</si>
  <si>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</si>
  <si>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</si>
  <si>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</si>
  <si>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</si>
  <si>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</si>
  <si>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</si>
  <si>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</si>
  <si>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</si>
  <si>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</si>
  <si>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</si>
  <si>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</si>
  <si>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</si>
  <si>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</si>
  <si>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</si>
  <si>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</si>
  <si>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</si>
  <si>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</si>
  <si>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</si>
  <si>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</si>
  <si>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</si>
  <si>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</si>
  <si>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</si>
  <si>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</si>
  <si>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</si>
  <si>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</si>
  <si>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</si>
  <si>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</si>
  <si>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</si>
  <si>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</si>
  <si>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</si>
  <si>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</si>
  <si>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</si>
  <si>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</si>
  <si>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</si>
  <si>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</si>
  <si>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</si>
  <si>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</si>
  <si>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</si>
  <si>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</si>
  <si>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</si>
  <si>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</si>
  <si>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</si>
  <si>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</si>
  <si>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</si>
  <si>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</si>
  <si>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</si>
  <si>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</si>
  <si>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</si>
  <si>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</si>
  <si>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</si>
  <si>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</si>
  <si>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</si>
  <si>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</si>
  <si>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</si>
  <si>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</si>
  <si>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</si>
  <si>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</si>
  <si>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</si>
  <si>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</si>
  <si>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</si>
  <si>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</si>
  <si>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</si>
  <si>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</si>
  <si>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</si>
  <si>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</si>
  <si>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</si>
  <si>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</si>
  <si>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</si>
  <si>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</si>
  <si>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</si>
  <si>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</si>
  <si>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</si>
  <si>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</si>
  <si>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</si>
  <si>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</si>
  <si>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</si>
  <si>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</si>
  <si>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</si>
  <si>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</si>
  <si>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</si>
  <si>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</si>
  <si>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</si>
  <si>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</si>
  <si>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</si>
  <si>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</si>
  <si>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</si>
  <si>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</si>
  <si>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</si>
  <si>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</si>
  <si>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</si>
  <si>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</si>
  <si>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</si>
  <si>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</si>
  <si>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</si>
  <si>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</si>
  <si>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</si>
  <si>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</si>
  <si>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</si>
  <si>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</si>
  <si>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</si>
  <si>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</si>
  <si>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</si>
  <si>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</si>
  <si>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</si>
  <si>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</si>
  <si>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</si>
  <si>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</si>
  <si>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</si>
  <si>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</si>
  <si>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</si>
  <si>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</si>
  <si>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</si>
  <si>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</si>
  <si>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</si>
  <si>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</si>
  <si>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Entradas x Saídas Mensal</t>
  </si>
  <si>
    <t>Entradas x Saídas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</si>
</sst>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  <font>
      <b/>
      <sz val="14"/>
      <name val="Barl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84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0" fillId="0" borderId="22" xfId="0" applyBorder="1"/>
    <xf numFmtId="0" fontId="0" fillId="0" borderId="23" xfId="0" applyBorder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46" fillId="0" borderId="60" xfId="0" applyFont="1" applyBorder="1"/>
    <xf numFmtId="0" fontId="46" fillId="0" borderId="62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6" fillId="0" borderId="59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0" fontId="46" fillId="0" borderId="62" xfId="0" applyFont="1" applyBorder="1" applyAlignment="1">
      <alignment horizontal="center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46" fillId="0" borderId="61" xfId="0" applyFont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31" xfId="0" applyNumberFormat="1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21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23" xfId="0" applyNumberFormat="1" applyFont="1" applyBorder="1" applyAlignment="1">
      <alignment horizontal="left" vertical="center"/>
    </xf>
    <xf numFmtId="165" fontId="29" fillId="0" borderId="32" xfId="0" applyNumberFormat="1" applyFont="1" applyBorder="1" applyAlignment="1">
      <alignment horizontal="left" vertical="center"/>
    </xf>
    <xf numFmtId="165" fontId="29" fillId="0" borderId="28" xfId="0" applyNumberFormat="1" applyFont="1" applyBorder="1" applyAlignment="1">
      <alignment horizontal="left" vertical="center"/>
    </xf>
    <xf numFmtId="165" fontId="29" fillId="0" borderId="34" xfId="0" applyNumberFormat="1" applyFont="1" applyBorder="1" applyAlignment="1">
      <alignment horizontal="left" vertical="center"/>
    </xf>
    <xf numFmtId="0" fontId="48" fillId="0" borderId="35" xfId="0" applyFont="1" applyBorder="1" applyAlignment="1">
      <alignment horizontal="center" vertical="center"/>
    </xf>
    <xf numFmtId="0" fontId="48" fillId="0" borderId="27" xfId="0" applyFont="1" applyBorder="1" applyAlignment="1">
      <alignment horizontal="center" vertical="center"/>
    </xf>
    <xf numFmtId="165" fontId="29" fillId="0" borderId="41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center" vertical="center"/>
    </xf>
    <xf numFmtId="165" fontId="29" fillId="0" borderId="45" xfId="0" applyNumberFormat="1" applyFont="1" applyBorder="1" applyAlignment="1">
      <alignment horizontal="center" vertical="center"/>
    </xf>
    <xf numFmtId="165" fontId="29" fillId="0" borderId="46" xfId="0" applyNumberFormat="1" applyFont="1" applyBorder="1" applyAlignment="1">
      <alignment horizontal="center" vertical="center"/>
    </xf>
    <xf numFmtId="165" fontId="29" fillId="0" borderId="29" xfId="0" applyNumberFormat="1" applyFont="1" applyBorder="1" applyAlignment="1">
      <alignment horizontal="left" vertical="center"/>
    </xf>
    <xf numFmtId="165" fontId="29" fillId="0" borderId="27" xfId="0" applyNumberFormat="1" applyFont="1" applyBorder="1" applyAlignment="1">
      <alignment horizontal="left" vertical="center"/>
    </xf>
    <xf numFmtId="165" fontId="29" fillId="0" borderId="36" xfId="0" applyNumberFormat="1" applyFont="1" applyBorder="1" applyAlignment="1">
      <alignment horizontal="left" vertical="center"/>
    </xf>
    <xf numFmtId="4" fontId="12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37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26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26" xfId="0" applyNumberFormat="1" applyFont="1" applyBorder="1" applyAlignment="1">
      <alignment horizontal="center" vertic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40" xfId="0" applyNumberFormat="1" applyFont="1" applyBorder="1" applyAlignment="1">
      <alignment horizontal="left" vertical="center"/>
    </xf>
    <xf numFmtId="165" fontId="29" fillId="0" borderId="21" xfId="0" applyNumberFormat="1" applyFont="1" applyBorder="1" applyAlignment="1">
      <alignment horizontal="center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2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1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13829"/>
            </a:solidFill>
          </c:spPr>
          <c:dPt>
            <c:idx val="0"/>
            <c:bubble3D val="0"/>
            <c:spPr>
              <a:solidFill>
                <a:srgbClr val="31382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C5-4C15-9022-FBCD7054BC97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C5-4C15-9022-FBCD7054BC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Cálculos'!$R$2:$S$2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'Base de Cálculos'!$R$3:$S$3</c:f>
              <c:numCache>
                <c:formatCode>General</c:formatCode>
                <c:ptCount val="2"/>
                <c:pt idx="0">
                  <c:v>1635</c:v>
                </c:pt>
                <c:pt idx="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C5-4C15-9022-FBCD7054B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dateAx>
        <c:axId val="211546320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Offset val="100"/>
        <c:baseTimeUnit val="months"/>
      </c:date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de Cálculos'!$N$2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de Cálculos'!$M$3:$M$14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180</c:v>
                </c:pt>
                <c:pt idx="9">
                  <c:v>100</c:v>
                </c:pt>
                <c:pt idx="10">
                  <c:v>80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B-414B-864D-6D12B321A536}"/>
            </c:ext>
          </c:extLst>
        </c:ser>
        <c:ser>
          <c:idx val="1"/>
          <c:order val="1"/>
          <c:tx>
            <c:strRef>
              <c:f>'Base de Cálculos'!$O$2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de Cálculos'!$M$3:$M$14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Cálculos'!$O$3:$O$14</c:f>
              <c:numCache>
                <c:formatCode>General</c:formatCode>
                <c:ptCount val="12"/>
                <c:pt idx="0">
                  <c:v>80</c:v>
                </c:pt>
                <c:pt idx="1">
                  <c:v>110</c:v>
                </c:pt>
                <c:pt idx="2">
                  <c:v>100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90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B-414B-864D-6D12B321A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0634287"/>
        <c:axId val="1500649167"/>
      </c:barChart>
      <c:catAx>
        <c:axId val="1500634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0649167"/>
        <c:crosses val="autoZero"/>
        <c:auto val="1"/>
        <c:lblAlgn val="ctr"/>
        <c:lblOffset val="100"/>
        <c:noMultiLvlLbl val="0"/>
      </c:catAx>
      <c:valAx>
        <c:axId val="15006491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06342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4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67</xdr:col>
      <xdr:colOff>85481</xdr:colOff>
      <xdr:row>29</xdr:row>
      <xdr:rowOff>62901</xdr:rowOff>
    </xdr:from>
    <xdr:to>
      <xdr:col>83</xdr:col>
      <xdr:colOff>112346</xdr:colOff>
      <xdr:row>44</xdr:row>
      <xdr:rowOff>78154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E4FB4EC6-1141-CBE3-F1B0-CC1E0AF55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22411</xdr:colOff>
      <xdr:row>30</xdr:row>
      <xdr:rowOff>89647</xdr:rowOff>
    </xdr:from>
    <xdr:to>
      <xdr:col>65</xdr:col>
      <xdr:colOff>95250</xdr:colOff>
      <xdr:row>44</xdr:row>
      <xdr:rowOff>50427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AEB0EEF1-5D56-CE25-491F-FAF373BC1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541419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433649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2">
          <a:extLst>
            <a:ext uri="{FF2B5EF4-FFF2-40B4-BE49-F238E27FC236}">
              <a16:creationId xmlns:a16="http://schemas.microsoft.com/office/drawing/2014/main" id="{28868E23-D7E2-47EA-8CBF-679194E0D653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114300</xdr:colOff>
      <xdr:row>0</xdr:row>
      <xdr:rowOff>0</xdr:rowOff>
    </xdr:from>
    <xdr:to>
      <xdr:col>29</xdr:col>
      <xdr:colOff>38100</xdr:colOff>
      <xdr:row>4</xdr:row>
      <xdr:rowOff>83819</xdr:rowOff>
    </xdr:to>
    <xdr:pic>
      <xdr:nvPicPr>
        <xdr:cNvPr id="4" name="Imagem 6">
          <a:extLst>
            <a:ext uri="{FF2B5EF4-FFF2-40B4-BE49-F238E27FC236}">
              <a16:creationId xmlns:a16="http://schemas.microsoft.com/office/drawing/2014/main" id="{C2161C83-F727-4510-B317-5B7E335197A7}"/>
            </a:ext>
            <a:ext uri="{147F2762-F138-4A5C-976F-8EAC2B608ADB}">
              <a16:predDERef xmlns:a16="http://schemas.microsoft.com/office/drawing/2014/main" pred="{597A0333-74FD-4BA7-85FE-321294934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0"/>
          <a:ext cx="1950720" cy="5410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0" dataDxfId="39">
  <autoFilter ref="B4:F31" xr:uid="{BF78AD2E-2996-4673-93A5-FBABBADBFCAD}"/>
  <tableColumns count="5">
    <tableColumn id="1" xr3:uid="{377E90C8-0A45-4737-AC04-4C7CDB0AEAE2}" name="Produto" dataDxfId="38"/>
    <tableColumn id="2" xr3:uid="{4EB804C9-8A27-4783-BD36-FB9E656AE6E9}" name="Unidade de Medida" dataDxfId="37"/>
    <tableColumn id="3" xr3:uid="{A21D3E1F-EEC0-4E4A-BE5D-F1FC07B6F8D6}" name="Estoque Mínimo" dataDxfId="36"/>
    <tableColumn id="4" xr3:uid="{56ACBABD-1CFA-40E7-BC2B-DBA4120CD2CF}" name="Custo Unitário" dataDxfId="35" dataCellStyle="Moeda"/>
    <tableColumn id="5" xr3:uid="{96CD541B-A2C4-4577-95D7-DC8135FFC00B}" name="Preço Unitário" dataDxfId="3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3" dataDxfId="32">
  <autoFilter ref="B5:E9" xr:uid="{3FE8CB29-2D3F-4475-8076-85314FAA5C42}"/>
  <tableColumns count="4">
    <tableColumn id="1" xr3:uid="{5957F8AA-CE75-4BE8-A28F-E63751C6F321}" name="Empresa" dataDxfId="31"/>
    <tableColumn id="2" xr3:uid="{714E240A-6400-4353-BAFA-98056A75BEB8}" name="Telefone" dataDxfId="30"/>
    <tableColumn id="3" xr3:uid="{83F2A368-4F63-4459-A8E0-C24478833107}" name="Responsável" dataDxfId="29"/>
    <tableColumn id="4" xr3:uid="{B26AA4D1-77D3-4E4E-8E26-1DD67159E60C}" name="E-mail" dataDxfId="28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27" dataDxfId="26">
  <autoFilter ref="B5:H59" xr:uid="{96889516-6D39-4469-A223-4B0F7168EF79}"/>
  <tableColumns count="7">
    <tableColumn id="7" xr3:uid="{4AF3EAC0-F872-46A1-9540-C49902B0DCA4}" name="Mês" dataDxfId="25">
      <calculatedColumnFormula>MONTH(TB_Entradas[[#This Row],[Data]])</calculatedColumnFormula>
    </tableColumn>
    <tableColumn id="1" xr3:uid="{701AD28A-1CD8-44C9-BCEB-958AEB0E91DD}" name="Data" dataDxfId="24"/>
    <tableColumn id="2" xr3:uid="{F247CE0B-0EF4-4B75-A4B5-2205D8CF8B59}" name="Produto" dataDxfId="23"/>
    <tableColumn id="3" xr3:uid="{1A5D1499-6E9D-496F-95A9-F290D6FBA0EA}" name="Fornecedor" dataDxfId="22"/>
    <tableColumn id="4" xr3:uid="{8E9FF413-1C84-4664-AA13-4DDF2E3D7D9D}" name="Quantidade Comprada" dataDxfId="21" dataCellStyle="Moeda"/>
    <tableColumn id="5" xr3:uid="{A02F7FDA-CBAC-4B18-A2AB-0654AA440E5C}" name="Custo Unitário" dataDxfId="20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9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18" dataDxfId="17">
  <autoFilter ref="B5:G62" xr:uid="{586A585A-A0FE-42A4-967D-5B04DAD1156E}"/>
  <tableColumns count="6">
    <tableColumn id="7" xr3:uid="{1596BF95-EC92-45A1-A4DC-822BF85970E2}" name="Mês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3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showGridLines="0" showRowColHeaders="0" tabSelected="1" zoomScale="106" zoomScaleNormal="106" workbookViewId="0">
      <selection activeCell="BP48" sqref="BP48"/>
    </sheetView>
  </sheetViews>
  <sheetFormatPr defaultColWidth="2.140625" defaultRowHeight="9" customHeight="1" x14ac:dyDescent="0.25"/>
  <cols>
    <col min="1" max="1" width="2.140625" customWidth="1"/>
    <col min="16" max="16" width="2.140625" customWidth="1"/>
  </cols>
  <sheetData>
    <row r="1" spans="2:99" ht="9" customHeight="1" thickBot="1" x14ac:dyDescent="0.3">
      <c r="B1" s="171" t="s">
        <v>90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25"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72" t="s">
        <v>91</v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4"/>
      <c r="AU2" s="17"/>
      <c r="AX2" s="172" t="s">
        <v>92</v>
      </c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4"/>
      <c r="BM2" s="17"/>
      <c r="BP2" s="172" t="s">
        <v>93</v>
      </c>
      <c r="BQ2" s="173"/>
      <c r="BR2" s="173"/>
      <c r="BS2" s="173"/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4"/>
    </row>
    <row r="3" spans="2:99" ht="9" customHeight="1" thickBot="1" x14ac:dyDescent="0.3"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75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7"/>
      <c r="AU3" s="17"/>
      <c r="AX3" s="175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7"/>
      <c r="BM3" s="17"/>
      <c r="BP3" s="175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7"/>
    </row>
    <row r="4" spans="2:99" ht="9" customHeight="1" x14ac:dyDescent="0.25"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178">
        <f>SUM(TB_Saídas[Valor de Venda])</f>
        <v>19042.5</v>
      </c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80"/>
      <c r="AU4" s="16"/>
      <c r="AX4" s="178">
        <f>SUM(TB_Entradas[Valor da Compra])</f>
        <v>5530</v>
      </c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80"/>
      <c r="BM4" s="21"/>
      <c r="BN4" s="22"/>
      <c r="BO4" s="22"/>
      <c r="BP4" s="184">
        <f>(AF4-AX4)/AX4</f>
        <v>2.4434900542495481</v>
      </c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6"/>
    </row>
    <row r="5" spans="2:99" ht="9" customHeight="1" x14ac:dyDescent="0.25"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178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80"/>
      <c r="AU5" s="16"/>
      <c r="AX5" s="178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  <c r="BJ5" s="179"/>
      <c r="BK5" s="179"/>
      <c r="BL5" s="180"/>
      <c r="BM5" s="21"/>
      <c r="BN5" s="22"/>
      <c r="BO5" s="22"/>
      <c r="BP5" s="184"/>
      <c r="BQ5" s="185"/>
      <c r="BR5" s="185"/>
      <c r="BS5" s="185"/>
      <c r="BT5" s="185"/>
      <c r="BU5" s="185"/>
      <c r="BV5" s="185"/>
      <c r="BW5" s="185"/>
      <c r="BX5" s="185"/>
      <c r="BY5" s="185"/>
      <c r="BZ5" s="185"/>
      <c r="CA5" s="185"/>
      <c r="CB5" s="185"/>
      <c r="CC5" s="185"/>
      <c r="CD5" s="186"/>
    </row>
    <row r="6" spans="2:99" ht="9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78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80"/>
      <c r="AU6" s="16"/>
      <c r="AX6" s="178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80"/>
      <c r="BM6" s="21"/>
      <c r="BN6" s="22"/>
      <c r="BO6" s="22"/>
      <c r="BP6" s="184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6"/>
    </row>
    <row r="7" spans="2:99" ht="9" customHeight="1" thickBot="1" x14ac:dyDescent="0.3">
      <c r="B7" s="27"/>
      <c r="Z7" s="27"/>
      <c r="AF7" s="181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3"/>
      <c r="AU7" s="16"/>
      <c r="AX7" s="181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3"/>
      <c r="BM7" s="21"/>
      <c r="BN7" s="22"/>
      <c r="BO7" s="22"/>
      <c r="BP7" s="187"/>
      <c r="BQ7" s="188"/>
      <c r="BR7" s="188"/>
      <c r="BS7" s="188"/>
      <c r="BT7" s="188"/>
      <c r="BU7" s="188"/>
      <c r="BV7" s="188"/>
      <c r="BW7" s="188"/>
      <c r="BX7" s="188"/>
      <c r="BY7" s="188"/>
      <c r="BZ7" s="188"/>
      <c r="CA7" s="188"/>
      <c r="CB7" s="188"/>
      <c r="CC7" s="188"/>
      <c r="CD7" s="189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">
      <c r="B8" s="27"/>
      <c r="C8" s="172" t="s">
        <v>94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4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">
      <c r="B9" s="23"/>
      <c r="C9" s="175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7"/>
      <c r="Z9" s="23"/>
      <c r="AB9" s="172" t="s">
        <v>95</v>
      </c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3"/>
      <c r="CE9" s="173"/>
      <c r="CF9" s="174"/>
      <c r="CG9" s="14"/>
    </row>
    <row r="10" spans="2:99" ht="9" customHeight="1" thickBot="1" x14ac:dyDescent="0.3">
      <c r="B10" s="23"/>
      <c r="C10" s="190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2"/>
      <c r="Z10" s="23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7"/>
    </row>
    <row r="11" spans="2:99" ht="9" customHeight="1" x14ac:dyDescent="0.25">
      <c r="B11" s="23"/>
      <c r="C11" s="190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2"/>
      <c r="Z11" s="23"/>
      <c r="AB11" s="196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197"/>
      <c r="CC11" s="197"/>
      <c r="CD11" s="197"/>
      <c r="CE11" s="197"/>
      <c r="CF11" s="198"/>
    </row>
    <row r="12" spans="2:99" ht="9" customHeight="1" x14ac:dyDescent="0.25">
      <c r="B12" s="23"/>
      <c r="C12" s="190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2"/>
      <c r="Z12" s="23"/>
      <c r="AB12" s="199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0"/>
      <c r="BF12" s="200"/>
      <c r="BG12" s="200"/>
      <c r="BH12" s="200"/>
      <c r="BI12" s="200"/>
      <c r="BJ12" s="200"/>
      <c r="BK12" s="200"/>
      <c r="BL12" s="200"/>
      <c r="BM12" s="200"/>
      <c r="BN12" s="200"/>
      <c r="BO12" s="200"/>
      <c r="BP12" s="200"/>
      <c r="BQ12" s="200"/>
      <c r="BR12" s="200"/>
      <c r="BS12" s="200"/>
      <c r="BT12" s="200"/>
      <c r="BU12" s="200"/>
      <c r="BV12" s="200"/>
      <c r="BW12" s="200"/>
      <c r="BX12" s="200"/>
      <c r="BY12" s="200"/>
      <c r="BZ12" s="200"/>
      <c r="CA12" s="200"/>
      <c r="CB12" s="200"/>
      <c r="CC12" s="200"/>
      <c r="CD12" s="200"/>
      <c r="CE12" s="200"/>
      <c r="CF12" s="201"/>
    </row>
    <row r="13" spans="2:99" ht="9" customHeight="1" x14ac:dyDescent="0.25">
      <c r="B13" s="23"/>
      <c r="C13" s="190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2"/>
      <c r="Z13" s="23"/>
      <c r="AA13" s="15"/>
      <c r="AB13" s="199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  <c r="BS13" s="200"/>
      <c r="BT13" s="200"/>
      <c r="BU13" s="200"/>
      <c r="BV13" s="200"/>
      <c r="BW13" s="200"/>
      <c r="BX13" s="200"/>
      <c r="BY13" s="200"/>
      <c r="BZ13" s="200"/>
      <c r="CA13" s="200"/>
      <c r="CB13" s="200"/>
      <c r="CC13" s="200"/>
      <c r="CD13" s="200"/>
      <c r="CE13" s="200"/>
      <c r="CF13" s="201"/>
    </row>
    <row r="14" spans="2:99" ht="9" customHeight="1" x14ac:dyDescent="0.25">
      <c r="C14" s="190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2"/>
      <c r="Z14" s="15"/>
      <c r="AB14" s="199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  <c r="BG14" s="200"/>
      <c r="BH14" s="200"/>
      <c r="BI14" s="200"/>
      <c r="BJ14" s="200"/>
      <c r="BK14" s="200"/>
      <c r="BL14" s="200"/>
      <c r="BM14" s="200"/>
      <c r="BN14" s="200"/>
      <c r="BO14" s="200"/>
      <c r="BP14" s="200"/>
      <c r="BQ14" s="200"/>
      <c r="BR14" s="200"/>
      <c r="BS14" s="200"/>
      <c r="BT14" s="200"/>
      <c r="BU14" s="200"/>
      <c r="BV14" s="200"/>
      <c r="BW14" s="200"/>
      <c r="BX14" s="200"/>
      <c r="BY14" s="200"/>
      <c r="BZ14" s="200"/>
      <c r="CA14" s="200"/>
      <c r="CB14" s="200"/>
      <c r="CC14" s="200"/>
      <c r="CD14" s="200"/>
      <c r="CE14" s="200"/>
      <c r="CF14" s="201"/>
    </row>
    <row r="15" spans="2:99" ht="9" customHeight="1" x14ac:dyDescent="0.25">
      <c r="C15" s="190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2"/>
      <c r="Z15" s="15"/>
      <c r="AB15" s="199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0"/>
      <c r="BN15" s="200"/>
      <c r="BO15" s="200"/>
      <c r="BP15" s="200"/>
      <c r="BQ15" s="200"/>
      <c r="BR15" s="200"/>
      <c r="BS15" s="200"/>
      <c r="BT15" s="200"/>
      <c r="BU15" s="200"/>
      <c r="BV15" s="200"/>
      <c r="BW15" s="200"/>
      <c r="BX15" s="200"/>
      <c r="BY15" s="200"/>
      <c r="BZ15" s="200"/>
      <c r="CA15" s="200"/>
      <c r="CB15" s="200"/>
      <c r="CC15" s="200"/>
      <c r="CD15" s="200"/>
      <c r="CE15" s="200"/>
      <c r="CF15" s="201"/>
    </row>
    <row r="16" spans="2:99" ht="9" customHeight="1" x14ac:dyDescent="0.25">
      <c r="C16" s="190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2"/>
      <c r="Z16" s="15"/>
      <c r="AB16" s="199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0"/>
      <c r="BE16" s="200"/>
      <c r="BF16" s="200"/>
      <c r="BG16" s="200"/>
      <c r="BH16" s="200"/>
      <c r="BI16" s="200"/>
      <c r="BJ16" s="200"/>
      <c r="BK16" s="200"/>
      <c r="BL16" s="200"/>
      <c r="BM16" s="200"/>
      <c r="BN16" s="200"/>
      <c r="BO16" s="200"/>
      <c r="BP16" s="200"/>
      <c r="BQ16" s="200"/>
      <c r="BR16" s="200"/>
      <c r="BS16" s="200"/>
      <c r="BT16" s="200"/>
      <c r="BU16" s="200"/>
      <c r="BV16" s="200"/>
      <c r="BW16" s="200"/>
      <c r="BX16" s="200"/>
      <c r="BY16" s="200"/>
      <c r="BZ16" s="200"/>
      <c r="CA16" s="200"/>
      <c r="CB16" s="200"/>
      <c r="CC16" s="200"/>
      <c r="CD16" s="200"/>
      <c r="CE16" s="200"/>
      <c r="CF16" s="201"/>
    </row>
    <row r="17" spans="2:84" ht="9" customHeight="1" x14ac:dyDescent="0.25">
      <c r="C17" s="190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2"/>
      <c r="Z17" s="15"/>
      <c r="AB17" s="199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  <c r="BS17" s="200"/>
      <c r="BT17" s="200"/>
      <c r="BU17" s="200"/>
      <c r="BV17" s="200"/>
      <c r="BW17" s="200"/>
      <c r="BX17" s="200"/>
      <c r="BY17" s="200"/>
      <c r="BZ17" s="200"/>
      <c r="CA17" s="200"/>
      <c r="CB17" s="200"/>
      <c r="CC17" s="200"/>
      <c r="CD17" s="200"/>
      <c r="CE17" s="200"/>
      <c r="CF17" s="201"/>
    </row>
    <row r="18" spans="2:84" ht="9" customHeight="1" x14ac:dyDescent="0.25">
      <c r="C18" s="190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2"/>
      <c r="Z18" s="15"/>
      <c r="AB18" s="199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0"/>
      <c r="BD18" s="200"/>
      <c r="BE18" s="200"/>
      <c r="BF18" s="200"/>
      <c r="BG18" s="200"/>
      <c r="BH18" s="200"/>
      <c r="BI18" s="200"/>
      <c r="BJ18" s="200"/>
      <c r="BK18" s="200"/>
      <c r="BL18" s="200"/>
      <c r="BM18" s="200"/>
      <c r="BN18" s="200"/>
      <c r="BO18" s="200"/>
      <c r="BP18" s="200"/>
      <c r="BQ18" s="200"/>
      <c r="BR18" s="200"/>
      <c r="BS18" s="200"/>
      <c r="BT18" s="200"/>
      <c r="BU18" s="200"/>
      <c r="BV18" s="200"/>
      <c r="BW18" s="200"/>
      <c r="BX18" s="200"/>
      <c r="BY18" s="200"/>
      <c r="BZ18" s="200"/>
      <c r="CA18" s="200"/>
      <c r="CB18" s="200"/>
      <c r="CC18" s="200"/>
      <c r="CD18" s="200"/>
      <c r="CE18" s="200"/>
      <c r="CF18" s="201"/>
    </row>
    <row r="19" spans="2:84" ht="9" customHeight="1" x14ac:dyDescent="0.25">
      <c r="C19" s="190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2"/>
      <c r="AB19" s="199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  <c r="BS19" s="200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  <c r="CD19" s="200"/>
      <c r="CE19" s="200"/>
      <c r="CF19" s="201"/>
    </row>
    <row r="20" spans="2:84" ht="9" customHeight="1" x14ac:dyDescent="0.25">
      <c r="C20" s="190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2"/>
      <c r="AB20" s="199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200"/>
      <c r="BQ20" s="200"/>
      <c r="BR20" s="200"/>
      <c r="BS20" s="200"/>
      <c r="BT20" s="200"/>
      <c r="BU20" s="200"/>
      <c r="BV20" s="200"/>
      <c r="BW20" s="200"/>
      <c r="BX20" s="200"/>
      <c r="BY20" s="200"/>
      <c r="BZ20" s="200"/>
      <c r="CA20" s="200"/>
      <c r="CB20" s="200"/>
      <c r="CC20" s="200"/>
      <c r="CD20" s="200"/>
      <c r="CE20" s="200"/>
      <c r="CF20" s="201"/>
    </row>
    <row r="21" spans="2:84" ht="9" customHeight="1" x14ac:dyDescent="0.25">
      <c r="C21" s="190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2"/>
      <c r="Z21" s="15"/>
      <c r="AB21" s="199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  <c r="BS21" s="200"/>
      <c r="BT21" s="200"/>
      <c r="BU21" s="200"/>
      <c r="BV21" s="200"/>
      <c r="BW21" s="200"/>
      <c r="BX21" s="200"/>
      <c r="BY21" s="200"/>
      <c r="BZ21" s="200"/>
      <c r="CA21" s="200"/>
      <c r="CB21" s="200"/>
      <c r="CC21" s="200"/>
      <c r="CD21" s="200"/>
      <c r="CE21" s="200"/>
      <c r="CF21" s="201"/>
    </row>
    <row r="22" spans="2:84" ht="9" customHeight="1" x14ac:dyDescent="0.25">
      <c r="C22" s="190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2"/>
      <c r="Z22" s="15"/>
      <c r="AB22" s="199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  <c r="BS22" s="200"/>
      <c r="BT22" s="200"/>
      <c r="BU22" s="200"/>
      <c r="BV22" s="200"/>
      <c r="BW22" s="200"/>
      <c r="BX22" s="200"/>
      <c r="BY22" s="200"/>
      <c r="BZ22" s="200"/>
      <c r="CA22" s="200"/>
      <c r="CB22" s="200"/>
      <c r="CC22" s="200"/>
      <c r="CD22" s="200"/>
      <c r="CE22" s="200"/>
      <c r="CF22" s="201"/>
    </row>
    <row r="23" spans="2:84" ht="9" customHeight="1" x14ac:dyDescent="0.25">
      <c r="C23" s="190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2"/>
      <c r="Z23" s="15"/>
      <c r="AB23" s="199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200"/>
      <c r="BR23" s="200"/>
      <c r="BS23" s="200"/>
      <c r="BT23" s="200"/>
      <c r="BU23" s="200"/>
      <c r="BV23" s="200"/>
      <c r="BW23" s="200"/>
      <c r="BX23" s="200"/>
      <c r="BY23" s="200"/>
      <c r="BZ23" s="200"/>
      <c r="CA23" s="200"/>
      <c r="CB23" s="200"/>
      <c r="CC23" s="200"/>
      <c r="CD23" s="200"/>
      <c r="CE23" s="200"/>
      <c r="CF23" s="201"/>
    </row>
    <row r="24" spans="2:84" ht="9" customHeight="1" x14ac:dyDescent="0.25">
      <c r="C24" s="190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2"/>
      <c r="Z24" s="15"/>
      <c r="AB24" s="199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1"/>
    </row>
    <row r="25" spans="2:84" ht="9" customHeight="1" thickBot="1" x14ac:dyDescent="0.3">
      <c r="C25" s="190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2"/>
      <c r="Z25" s="15"/>
      <c r="AA25" s="28"/>
      <c r="AB25" s="202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203"/>
      <c r="BO25" s="203"/>
      <c r="BP25" s="203"/>
      <c r="BQ25" s="203"/>
      <c r="BR25" s="203"/>
      <c r="BS25" s="203"/>
      <c r="BT25" s="203"/>
      <c r="BU25" s="203"/>
      <c r="BV25" s="203"/>
      <c r="BW25" s="203"/>
      <c r="BX25" s="203"/>
      <c r="BY25" s="203"/>
      <c r="BZ25" s="203"/>
      <c r="CA25" s="203"/>
      <c r="CB25" s="203"/>
      <c r="CC25" s="203"/>
      <c r="CD25" s="203"/>
      <c r="CE25" s="203"/>
      <c r="CF25" s="204"/>
    </row>
    <row r="26" spans="2:84" ht="9" customHeight="1" x14ac:dyDescent="0.25">
      <c r="C26" s="190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2"/>
      <c r="Z26" s="15"/>
    </row>
    <row r="27" spans="2:84" ht="9" customHeight="1" thickBot="1" x14ac:dyDescent="0.3">
      <c r="B27" s="18"/>
      <c r="C27" s="193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5"/>
      <c r="Z27" s="15"/>
    </row>
    <row r="28" spans="2:84" ht="9" customHeight="1" thickBot="1" x14ac:dyDescent="0.3">
      <c r="Z28" s="15"/>
      <c r="AB28" s="172" t="s">
        <v>96</v>
      </c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4"/>
      <c r="BO28" s="85"/>
      <c r="BP28" s="172" t="s">
        <v>97</v>
      </c>
      <c r="BQ28" s="173"/>
      <c r="BR28" s="173"/>
      <c r="BS28" s="173"/>
      <c r="BT28" s="173"/>
      <c r="BU28" s="173"/>
      <c r="BV28" s="173"/>
      <c r="BW28" s="173"/>
      <c r="BX28" s="173"/>
      <c r="BY28" s="173"/>
      <c r="BZ28" s="173"/>
      <c r="CA28" s="173"/>
      <c r="CB28" s="173"/>
      <c r="CC28" s="173"/>
      <c r="CD28" s="173"/>
      <c r="CE28" s="173"/>
      <c r="CF28" s="174"/>
    </row>
    <row r="29" spans="2:84" ht="9" customHeight="1" thickBot="1" x14ac:dyDescent="0.3">
      <c r="C29" s="172" t="s">
        <v>98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4"/>
      <c r="AB29" s="175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6"/>
      <c r="BN29" s="177"/>
      <c r="BO29" s="85"/>
      <c r="BP29" s="175"/>
      <c r="BQ29" s="176"/>
      <c r="BR29" s="176"/>
      <c r="BS29" s="176"/>
      <c r="BT29" s="176"/>
      <c r="BU29" s="176"/>
      <c r="BV29" s="176"/>
      <c r="BW29" s="176"/>
      <c r="BX29" s="176"/>
      <c r="BY29" s="176"/>
      <c r="BZ29" s="176"/>
      <c r="CA29" s="176"/>
      <c r="CB29" s="176"/>
      <c r="CC29" s="176"/>
      <c r="CD29" s="176"/>
      <c r="CE29" s="176"/>
      <c r="CF29" s="177"/>
    </row>
    <row r="30" spans="2:84" ht="9" customHeight="1" thickBot="1" x14ac:dyDescent="0.3">
      <c r="B30" s="20"/>
      <c r="C30" s="175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7"/>
      <c r="AB30" s="31"/>
      <c r="AN30" s="205" t="s">
        <v>6</v>
      </c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N30" s="32"/>
      <c r="BP30" s="116"/>
      <c r="BQ30" s="117"/>
      <c r="BR30" s="117"/>
      <c r="BS30" s="117"/>
      <c r="BT30" s="117"/>
      <c r="BU30" s="208"/>
      <c r="BV30" s="208"/>
      <c r="BW30" s="208"/>
      <c r="BX30" s="208"/>
      <c r="BY30" s="208"/>
      <c r="BZ30" s="208"/>
      <c r="CA30" s="208"/>
      <c r="CB30" s="117"/>
      <c r="CC30" s="117"/>
      <c r="CD30" s="117"/>
      <c r="CE30" s="117"/>
      <c r="CF30" s="118"/>
    </row>
    <row r="31" spans="2:84" ht="9" customHeight="1" x14ac:dyDescent="0.25">
      <c r="C31" s="277" t="s">
        <v>99</v>
      </c>
      <c r="D31" s="278"/>
      <c r="E31" s="278"/>
      <c r="F31" s="279"/>
      <c r="G31" s="222" t="str">
        <f>'Base de Cálculos'!B11</f>
        <v>Café</v>
      </c>
      <c r="H31" s="223"/>
      <c r="I31" s="223"/>
      <c r="J31" s="223"/>
      <c r="K31" s="223"/>
      <c r="L31" s="223"/>
      <c r="M31" s="223"/>
      <c r="N31" s="223"/>
      <c r="O31" s="223"/>
      <c r="P31" s="282"/>
      <c r="Q31" s="216">
        <f>'Base de Cálculos'!C11</f>
        <v>5670</v>
      </c>
      <c r="R31" s="217"/>
      <c r="S31" s="217"/>
      <c r="T31" s="217"/>
      <c r="U31" s="217"/>
      <c r="V31" s="217"/>
      <c r="W31" s="217"/>
      <c r="X31" s="217"/>
      <c r="Y31" s="283"/>
      <c r="AB31" s="31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N31" s="32"/>
      <c r="BP31" s="31"/>
      <c r="BU31" s="191"/>
      <c r="BV31" s="191"/>
      <c r="BW31" s="191"/>
      <c r="BX31" s="191"/>
      <c r="BY31" s="191"/>
      <c r="BZ31" s="191"/>
      <c r="CA31" s="191"/>
      <c r="CF31" s="32"/>
    </row>
    <row r="32" spans="2:84" ht="9" customHeight="1" x14ac:dyDescent="0.25">
      <c r="C32" s="255"/>
      <c r="D32" s="256"/>
      <c r="E32" s="256"/>
      <c r="F32" s="280"/>
      <c r="G32" s="225"/>
      <c r="H32" s="226"/>
      <c r="I32" s="226"/>
      <c r="J32" s="226"/>
      <c r="K32" s="226"/>
      <c r="L32" s="226"/>
      <c r="M32" s="226"/>
      <c r="N32" s="226"/>
      <c r="O32" s="226"/>
      <c r="P32" s="262"/>
      <c r="Q32" s="219"/>
      <c r="R32" s="220"/>
      <c r="S32" s="220"/>
      <c r="T32" s="220"/>
      <c r="U32" s="220"/>
      <c r="V32" s="220"/>
      <c r="W32" s="220"/>
      <c r="X32" s="220"/>
      <c r="Y32" s="269"/>
      <c r="AB32" s="190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2"/>
      <c r="BP32" s="31"/>
      <c r="CF32" s="32"/>
    </row>
    <row r="33" spans="2:126" ht="9" customHeight="1" thickBot="1" x14ac:dyDescent="0.3">
      <c r="C33" s="257"/>
      <c r="D33" s="258"/>
      <c r="E33" s="258"/>
      <c r="F33" s="281"/>
      <c r="G33" s="225"/>
      <c r="H33" s="226"/>
      <c r="I33" s="226"/>
      <c r="J33" s="226"/>
      <c r="K33" s="226"/>
      <c r="L33" s="226"/>
      <c r="M33" s="226"/>
      <c r="N33" s="226"/>
      <c r="O33" s="226"/>
      <c r="P33" s="262"/>
      <c r="Q33" s="270"/>
      <c r="R33" s="271"/>
      <c r="S33" s="271"/>
      <c r="T33" s="271"/>
      <c r="U33" s="271"/>
      <c r="V33" s="271"/>
      <c r="W33" s="271"/>
      <c r="X33" s="271"/>
      <c r="Y33" s="272"/>
      <c r="AB33" s="190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2"/>
      <c r="BP33" s="31"/>
      <c r="CF33" s="32"/>
    </row>
    <row r="34" spans="2:126" ht="9" customHeight="1" thickTop="1" x14ac:dyDescent="0.25">
      <c r="C34" s="253" t="s">
        <v>100</v>
      </c>
      <c r="D34" s="254"/>
      <c r="E34" s="254"/>
      <c r="F34" s="254"/>
      <c r="G34" s="259" t="str">
        <f>'Base de Cálculos'!B12</f>
        <v>Chocolate Quente</v>
      </c>
      <c r="H34" s="260"/>
      <c r="I34" s="260"/>
      <c r="J34" s="260"/>
      <c r="K34" s="260"/>
      <c r="L34" s="260"/>
      <c r="M34" s="260"/>
      <c r="N34" s="260"/>
      <c r="O34" s="260"/>
      <c r="P34" s="261"/>
      <c r="Q34" s="266">
        <f>'Base de Cálculos'!C12</f>
        <v>4250</v>
      </c>
      <c r="R34" s="267"/>
      <c r="S34" s="267"/>
      <c r="T34" s="267"/>
      <c r="U34" s="267"/>
      <c r="V34" s="267"/>
      <c r="W34" s="267"/>
      <c r="X34" s="267"/>
      <c r="Y34" s="268"/>
      <c r="Z34" s="18"/>
      <c r="AB34" s="190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2"/>
      <c r="BP34" s="31"/>
      <c r="CF34" s="32"/>
    </row>
    <row r="35" spans="2:126" ht="9" customHeight="1" x14ac:dyDescent="0.25">
      <c r="B35" s="18"/>
      <c r="C35" s="255"/>
      <c r="D35" s="256"/>
      <c r="E35" s="256"/>
      <c r="F35" s="256"/>
      <c r="G35" s="225"/>
      <c r="H35" s="226"/>
      <c r="I35" s="226"/>
      <c r="J35" s="226"/>
      <c r="K35" s="226"/>
      <c r="L35" s="226"/>
      <c r="M35" s="226"/>
      <c r="N35" s="226"/>
      <c r="O35" s="226"/>
      <c r="P35" s="262"/>
      <c r="Q35" s="219"/>
      <c r="R35" s="220"/>
      <c r="S35" s="220"/>
      <c r="T35" s="220"/>
      <c r="U35" s="220"/>
      <c r="V35" s="220"/>
      <c r="W35" s="220"/>
      <c r="X35" s="220"/>
      <c r="Y35" s="269"/>
      <c r="Z35" s="19"/>
      <c r="AA35" s="19"/>
      <c r="AB35" s="190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2"/>
      <c r="BP35" s="31"/>
      <c r="CF35" s="32"/>
    </row>
    <row r="36" spans="2:126" ht="9" customHeight="1" thickBot="1" x14ac:dyDescent="0.3">
      <c r="C36" s="257"/>
      <c r="D36" s="258"/>
      <c r="E36" s="258"/>
      <c r="F36" s="258"/>
      <c r="G36" s="263"/>
      <c r="H36" s="264"/>
      <c r="I36" s="264"/>
      <c r="J36" s="264"/>
      <c r="K36" s="264"/>
      <c r="L36" s="264"/>
      <c r="M36" s="264"/>
      <c r="N36" s="264"/>
      <c r="O36" s="264"/>
      <c r="P36" s="265"/>
      <c r="Q36" s="270"/>
      <c r="R36" s="271"/>
      <c r="S36" s="271"/>
      <c r="T36" s="271"/>
      <c r="U36" s="271"/>
      <c r="V36" s="271"/>
      <c r="W36" s="271"/>
      <c r="X36" s="271"/>
      <c r="Y36" s="272"/>
      <c r="Z36" s="19"/>
      <c r="AA36" s="19"/>
      <c r="AB36" s="190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2"/>
      <c r="BP36" s="31"/>
      <c r="CF36" s="32"/>
    </row>
    <row r="37" spans="2:126" ht="9" customHeight="1" thickTop="1" x14ac:dyDescent="0.25">
      <c r="C37" s="253" t="s">
        <v>101</v>
      </c>
      <c r="D37" s="254"/>
      <c r="E37" s="254"/>
      <c r="F37" s="254"/>
      <c r="G37" s="259" t="str">
        <f>'Base de Cálculos'!B13</f>
        <v>Pão de Queijo</v>
      </c>
      <c r="H37" s="260"/>
      <c r="I37" s="260"/>
      <c r="J37" s="260"/>
      <c r="K37" s="260"/>
      <c r="L37" s="260"/>
      <c r="M37" s="260"/>
      <c r="N37" s="260"/>
      <c r="O37" s="260"/>
      <c r="P37" s="261"/>
      <c r="Q37" s="266">
        <f>'Base de Cálculos'!C13</f>
        <v>3000</v>
      </c>
      <c r="R37" s="267"/>
      <c r="S37" s="267"/>
      <c r="T37" s="267"/>
      <c r="U37" s="267"/>
      <c r="V37" s="267"/>
      <c r="W37" s="267"/>
      <c r="X37" s="267"/>
      <c r="Y37" s="268"/>
      <c r="Z37" s="243"/>
      <c r="AB37" s="190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2"/>
      <c r="BP37" s="31"/>
      <c r="CF37" s="32"/>
    </row>
    <row r="38" spans="2:126" ht="9" customHeight="1" x14ac:dyDescent="0.25">
      <c r="C38" s="255"/>
      <c r="D38" s="256"/>
      <c r="E38" s="256"/>
      <c r="F38" s="256"/>
      <c r="G38" s="225"/>
      <c r="H38" s="226"/>
      <c r="I38" s="226"/>
      <c r="J38" s="226"/>
      <c r="K38" s="226"/>
      <c r="L38" s="226"/>
      <c r="M38" s="226"/>
      <c r="N38" s="226"/>
      <c r="O38" s="226"/>
      <c r="P38" s="262"/>
      <c r="Q38" s="219"/>
      <c r="R38" s="220"/>
      <c r="S38" s="220"/>
      <c r="T38" s="220"/>
      <c r="U38" s="220"/>
      <c r="V38" s="220"/>
      <c r="W38" s="220"/>
      <c r="X38" s="220"/>
      <c r="Y38" s="269"/>
      <c r="Z38" s="243"/>
      <c r="AB38" s="190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2"/>
      <c r="BP38" s="31"/>
      <c r="CF38" s="32"/>
    </row>
    <row r="39" spans="2:126" ht="9" customHeight="1" thickBot="1" x14ac:dyDescent="0.3">
      <c r="C39" s="257"/>
      <c r="D39" s="258"/>
      <c r="E39" s="258"/>
      <c r="F39" s="258"/>
      <c r="G39" s="263"/>
      <c r="H39" s="264"/>
      <c r="I39" s="264"/>
      <c r="J39" s="264"/>
      <c r="K39" s="264"/>
      <c r="L39" s="264"/>
      <c r="M39" s="264"/>
      <c r="N39" s="264"/>
      <c r="O39" s="264"/>
      <c r="P39" s="265"/>
      <c r="Q39" s="270"/>
      <c r="R39" s="271"/>
      <c r="S39" s="271"/>
      <c r="T39" s="271"/>
      <c r="U39" s="271"/>
      <c r="V39" s="271"/>
      <c r="W39" s="271"/>
      <c r="X39" s="271"/>
      <c r="Y39" s="272"/>
      <c r="Z39" s="243"/>
      <c r="AB39" s="190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2"/>
      <c r="BP39" s="31"/>
      <c r="CF39" s="32"/>
    </row>
    <row r="40" spans="2:126" ht="9" customHeight="1" thickTop="1" x14ac:dyDescent="0.25">
      <c r="C40" s="253" t="s">
        <v>102</v>
      </c>
      <c r="D40" s="254"/>
      <c r="E40" s="254"/>
      <c r="F40" s="254"/>
      <c r="G40" s="259" t="str">
        <f>'Base de Cálculos'!B14</f>
        <v>Refrigerante</v>
      </c>
      <c r="H40" s="260"/>
      <c r="I40" s="260"/>
      <c r="J40" s="260"/>
      <c r="K40" s="260"/>
      <c r="L40" s="260"/>
      <c r="M40" s="260"/>
      <c r="N40" s="260"/>
      <c r="O40" s="260"/>
      <c r="P40" s="261"/>
      <c r="Q40" s="266">
        <f>'Base de Cálculos'!C14</f>
        <v>1680</v>
      </c>
      <c r="R40" s="267"/>
      <c r="S40" s="267"/>
      <c r="T40" s="267"/>
      <c r="U40" s="267"/>
      <c r="V40" s="267"/>
      <c r="W40" s="267"/>
      <c r="X40" s="267"/>
      <c r="Y40" s="268"/>
      <c r="Z40" s="243"/>
      <c r="AB40" s="190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2"/>
      <c r="BP40" s="31"/>
      <c r="CF40" s="32"/>
    </row>
    <row r="41" spans="2:126" ht="9" customHeight="1" x14ac:dyDescent="0.25">
      <c r="C41" s="255"/>
      <c r="D41" s="256"/>
      <c r="E41" s="256"/>
      <c r="F41" s="256"/>
      <c r="G41" s="225"/>
      <c r="H41" s="226"/>
      <c r="I41" s="226"/>
      <c r="J41" s="226"/>
      <c r="K41" s="226"/>
      <c r="L41" s="226"/>
      <c r="M41" s="226"/>
      <c r="N41" s="226"/>
      <c r="O41" s="226"/>
      <c r="P41" s="262"/>
      <c r="Q41" s="219"/>
      <c r="R41" s="220"/>
      <c r="S41" s="220"/>
      <c r="T41" s="220"/>
      <c r="U41" s="220"/>
      <c r="V41" s="220"/>
      <c r="W41" s="220"/>
      <c r="X41" s="220"/>
      <c r="Y41" s="269"/>
      <c r="Z41" s="243"/>
      <c r="AB41" s="190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2"/>
      <c r="BP41" s="31"/>
      <c r="CF41" s="32"/>
    </row>
    <row r="42" spans="2:126" ht="9" customHeight="1" thickBot="1" x14ac:dyDescent="0.3">
      <c r="C42" s="257"/>
      <c r="D42" s="258"/>
      <c r="E42" s="258"/>
      <c r="F42" s="258"/>
      <c r="G42" s="263"/>
      <c r="H42" s="264"/>
      <c r="I42" s="264"/>
      <c r="J42" s="264"/>
      <c r="K42" s="264"/>
      <c r="L42" s="264"/>
      <c r="M42" s="264"/>
      <c r="N42" s="264"/>
      <c r="O42" s="264"/>
      <c r="P42" s="265"/>
      <c r="Q42" s="270"/>
      <c r="R42" s="271"/>
      <c r="S42" s="271"/>
      <c r="T42" s="271"/>
      <c r="U42" s="271"/>
      <c r="V42" s="271"/>
      <c r="W42" s="271"/>
      <c r="X42" s="271"/>
      <c r="Y42" s="272"/>
      <c r="Z42" s="243"/>
      <c r="AB42" s="190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2"/>
      <c r="BP42" s="31"/>
      <c r="CF42" s="32"/>
    </row>
    <row r="43" spans="2:126" ht="9" customHeight="1" thickTop="1" x14ac:dyDescent="0.25">
      <c r="C43" s="253" t="s">
        <v>103</v>
      </c>
      <c r="D43" s="254"/>
      <c r="E43" s="254"/>
      <c r="F43" s="254"/>
      <c r="G43" s="259" t="str">
        <f>'Base de Cálculos'!B15</f>
        <v>Coxinha</v>
      </c>
      <c r="H43" s="260"/>
      <c r="I43" s="260"/>
      <c r="J43" s="260"/>
      <c r="K43" s="260"/>
      <c r="L43" s="260"/>
      <c r="M43" s="260"/>
      <c r="N43" s="260"/>
      <c r="O43" s="260"/>
      <c r="P43" s="261"/>
      <c r="Q43" s="266">
        <f>'Base de Cálculos'!C15</f>
        <v>1592.5</v>
      </c>
      <c r="R43" s="267"/>
      <c r="S43" s="267"/>
      <c r="T43" s="267"/>
      <c r="U43" s="267"/>
      <c r="V43" s="267"/>
      <c r="W43" s="267"/>
      <c r="X43" s="267"/>
      <c r="Y43" s="268"/>
      <c r="Z43" s="243"/>
      <c r="AB43" s="190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2"/>
      <c r="BP43" s="31"/>
      <c r="CF43" s="32"/>
    </row>
    <row r="44" spans="2:126" ht="9" customHeight="1" x14ac:dyDescent="0.25">
      <c r="C44" s="255"/>
      <c r="D44" s="256"/>
      <c r="E44" s="256"/>
      <c r="F44" s="256"/>
      <c r="G44" s="225"/>
      <c r="H44" s="226"/>
      <c r="I44" s="226"/>
      <c r="J44" s="226"/>
      <c r="K44" s="226"/>
      <c r="L44" s="226"/>
      <c r="M44" s="226"/>
      <c r="N44" s="226"/>
      <c r="O44" s="226"/>
      <c r="P44" s="262"/>
      <c r="Q44" s="219"/>
      <c r="R44" s="220"/>
      <c r="S44" s="220"/>
      <c r="T44" s="220"/>
      <c r="U44" s="220"/>
      <c r="V44" s="220"/>
      <c r="W44" s="220"/>
      <c r="X44" s="220"/>
      <c r="Y44" s="269"/>
      <c r="Z44" s="243"/>
      <c r="AB44" s="190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2"/>
      <c r="BP44" s="31"/>
      <c r="CF44" s="32"/>
    </row>
    <row r="45" spans="2:126" ht="9" customHeight="1" thickBot="1" x14ac:dyDescent="0.3">
      <c r="C45" s="273"/>
      <c r="D45" s="274"/>
      <c r="E45" s="274"/>
      <c r="F45" s="274"/>
      <c r="G45" s="249"/>
      <c r="H45" s="250"/>
      <c r="I45" s="250"/>
      <c r="J45" s="250"/>
      <c r="K45" s="250"/>
      <c r="L45" s="250"/>
      <c r="M45" s="250"/>
      <c r="N45" s="250"/>
      <c r="O45" s="250"/>
      <c r="P45" s="275"/>
      <c r="Q45" s="246"/>
      <c r="R45" s="247"/>
      <c r="S45" s="247"/>
      <c r="T45" s="247"/>
      <c r="U45" s="247"/>
      <c r="V45" s="247"/>
      <c r="W45" s="247"/>
      <c r="X45" s="247"/>
      <c r="Y45" s="276"/>
      <c r="AB45" s="193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5"/>
      <c r="BP45" s="119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1"/>
    </row>
    <row r="46" spans="2:126" ht="9" customHeight="1" x14ac:dyDescent="0.25">
      <c r="DJ46" s="252"/>
      <c r="DK46" s="252"/>
      <c r="DL46" s="252"/>
      <c r="DM46" s="252"/>
      <c r="DN46" s="252"/>
      <c r="DO46" s="252"/>
      <c r="DP46" s="252"/>
      <c r="DQ46" s="252"/>
      <c r="DR46" s="252"/>
      <c r="DS46" s="252"/>
      <c r="DT46" s="252"/>
      <c r="DU46" s="252"/>
      <c r="DV46" s="252"/>
    </row>
    <row r="47" spans="2:126" ht="9" customHeight="1" x14ac:dyDescent="0.25">
      <c r="DJ47" s="252"/>
      <c r="DK47" s="252"/>
      <c r="DL47" s="252"/>
      <c r="DM47" s="252"/>
      <c r="DN47" s="252"/>
      <c r="DO47" s="252"/>
      <c r="DP47" s="252"/>
      <c r="DQ47" s="252"/>
      <c r="DR47" s="252"/>
      <c r="DS47" s="252"/>
      <c r="DT47" s="252"/>
      <c r="DU47" s="252"/>
      <c r="DV47" s="252"/>
    </row>
    <row r="48" spans="2:126" ht="9" customHeight="1" x14ac:dyDescent="0.25">
      <c r="DJ48" s="242"/>
      <c r="DK48" s="242"/>
      <c r="DL48" s="242"/>
      <c r="DM48" s="242"/>
      <c r="DN48" s="242"/>
      <c r="DO48" s="242"/>
      <c r="DP48" s="242"/>
      <c r="DQ48" s="242"/>
      <c r="DR48" s="242"/>
      <c r="DS48" s="242"/>
      <c r="DT48" s="242"/>
      <c r="DU48" s="242"/>
      <c r="DV48" s="242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BU30:CA31"/>
    <mergeCell ref="C8:Y9"/>
    <mergeCell ref="AB9:CF10"/>
    <mergeCell ref="C10:Y27"/>
    <mergeCell ref="AB28:BN29"/>
    <mergeCell ref="BP28:CF29"/>
    <mergeCell ref="C29:Y30"/>
    <mergeCell ref="AN30:BC31"/>
    <mergeCell ref="C31:F33"/>
    <mergeCell ref="G31:P33"/>
    <mergeCell ref="AB11:CF25"/>
    <mergeCell ref="Q31:Y33"/>
    <mergeCell ref="DJ46:DV47"/>
    <mergeCell ref="DJ48:DV48"/>
    <mergeCell ref="AB32:BN45"/>
    <mergeCell ref="Z37:Z38"/>
    <mergeCell ref="Z39:Z40"/>
    <mergeCell ref="Z41:Z42"/>
    <mergeCell ref="C43:F45"/>
    <mergeCell ref="G43:P45"/>
    <mergeCell ref="Q43:Y45"/>
    <mergeCell ref="Z43:Z44"/>
    <mergeCell ref="C40:F42"/>
    <mergeCell ref="G40:P42"/>
    <mergeCell ref="Q40:Y42"/>
    <mergeCell ref="C34:F36"/>
    <mergeCell ref="G34:P36"/>
    <mergeCell ref="Q34:Y36"/>
    <mergeCell ref="C37:F39"/>
    <mergeCell ref="G37:P39"/>
    <mergeCell ref="Q37:Y39"/>
  </mergeCells>
  <dataValidations count="1">
    <dataValidation type="list" allowBlank="1" showInputMessage="1" showErrorMessage="1" sqref="AN30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topLeftCell="A24" zoomScale="140" zoomScaleNormal="140" workbookViewId="0">
      <selection activeCell="B5" sqref="B5:B31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8" max="8" width="13.5703125" customWidth="1"/>
    <col min="9" max="9" width="15.28515625" customWidth="1"/>
  </cols>
  <sheetData>
    <row r="1" spans="2:9" s="29" customFormat="1" ht="60" customHeight="1" x14ac:dyDescent="0.25">
      <c r="E1" s="39" t="s">
        <v>0</v>
      </c>
      <c r="F1" s="40"/>
    </row>
    <row r="2" spans="2:9" s="34" customFormat="1" ht="6" customHeight="1" x14ac:dyDescent="0.25">
      <c r="F2" s="35"/>
    </row>
    <row r="4" spans="2:9" x14ac:dyDescent="0.25">
      <c r="B4" s="49" t="s">
        <v>1</v>
      </c>
      <c r="C4" s="49" t="s">
        <v>2</v>
      </c>
      <c r="D4" s="49" t="s">
        <v>3</v>
      </c>
      <c r="E4" s="49" t="s">
        <v>4</v>
      </c>
      <c r="F4" s="49" t="s">
        <v>5</v>
      </c>
    </row>
    <row r="5" spans="2:9" ht="18" x14ac:dyDescent="0.35">
      <c r="B5" s="36" t="s">
        <v>6</v>
      </c>
      <c r="C5" s="37" t="s">
        <v>7</v>
      </c>
      <c r="D5" s="37">
        <v>50</v>
      </c>
      <c r="E5" s="38">
        <v>2</v>
      </c>
      <c r="F5" s="38">
        <v>6</v>
      </c>
      <c r="G5" s="3"/>
      <c r="H5" s="3"/>
    </row>
    <row r="6" spans="2:9" ht="18" x14ac:dyDescent="0.35">
      <c r="B6" s="36" t="s">
        <v>8</v>
      </c>
      <c r="C6" s="37" t="s">
        <v>9</v>
      </c>
      <c r="D6" s="37">
        <v>5</v>
      </c>
      <c r="E6" s="38">
        <v>1.5</v>
      </c>
      <c r="F6" s="38">
        <v>3</v>
      </c>
      <c r="H6" s="3"/>
    </row>
    <row r="7" spans="2:9" ht="18" x14ac:dyDescent="0.35">
      <c r="B7" s="36" t="s">
        <v>10</v>
      </c>
      <c r="C7" s="37" t="s">
        <v>9</v>
      </c>
      <c r="D7" s="37">
        <v>50</v>
      </c>
      <c r="E7" s="38">
        <v>0.5</v>
      </c>
      <c r="F7" s="38">
        <v>6.5</v>
      </c>
      <c r="H7" s="3"/>
    </row>
    <row r="8" spans="2:9" ht="18" x14ac:dyDescent="0.35">
      <c r="B8" s="36" t="s">
        <v>11</v>
      </c>
      <c r="C8" s="37" t="s">
        <v>9</v>
      </c>
      <c r="D8" s="37">
        <v>50</v>
      </c>
      <c r="E8" s="38">
        <v>1</v>
      </c>
      <c r="F8" s="38">
        <v>4.5</v>
      </c>
      <c r="H8" s="3"/>
    </row>
    <row r="9" spans="2:9" ht="18" x14ac:dyDescent="0.35">
      <c r="B9" s="36" t="s">
        <v>12</v>
      </c>
      <c r="C9" s="37" t="s">
        <v>9</v>
      </c>
      <c r="D9" s="37">
        <v>50</v>
      </c>
      <c r="E9" s="38">
        <v>1</v>
      </c>
      <c r="F9" s="38">
        <v>4</v>
      </c>
      <c r="H9" s="3"/>
      <c r="I9" s="10"/>
    </row>
    <row r="10" spans="2:9" ht="18" x14ac:dyDescent="0.35">
      <c r="B10" s="36" t="s">
        <v>13</v>
      </c>
      <c r="C10" s="37" t="s">
        <v>9</v>
      </c>
      <c r="D10" s="37">
        <v>50</v>
      </c>
      <c r="E10" s="38">
        <v>1</v>
      </c>
      <c r="F10" s="38">
        <v>4</v>
      </c>
    </row>
    <row r="11" spans="2:9" ht="18" x14ac:dyDescent="0.35">
      <c r="B11" s="36" t="s">
        <v>14</v>
      </c>
      <c r="C11" s="37" t="s">
        <v>9</v>
      </c>
      <c r="D11" s="37">
        <v>50</v>
      </c>
      <c r="E11" s="38">
        <v>0.5</v>
      </c>
      <c r="F11" s="38">
        <v>4</v>
      </c>
    </row>
    <row r="12" spans="2:9" ht="18" x14ac:dyDescent="0.35">
      <c r="B12" s="36" t="s">
        <v>15</v>
      </c>
      <c r="C12" s="37" t="s">
        <v>16</v>
      </c>
      <c r="D12" s="37">
        <v>15</v>
      </c>
      <c r="E12" s="38">
        <v>0.5</v>
      </c>
      <c r="F12" s="38">
        <v>2</v>
      </c>
    </row>
    <row r="13" spans="2:9" ht="18" x14ac:dyDescent="0.35">
      <c r="B13" s="36" t="s">
        <v>17</v>
      </c>
      <c r="C13" s="37" t="s">
        <v>16</v>
      </c>
      <c r="D13" s="37">
        <v>15</v>
      </c>
      <c r="E13" s="38">
        <v>0.25</v>
      </c>
      <c r="F13" s="38">
        <v>1</v>
      </c>
    </row>
    <row r="14" spans="2:9" ht="18" x14ac:dyDescent="0.35">
      <c r="B14" s="36" t="s">
        <v>18</v>
      </c>
      <c r="C14" s="37" t="s">
        <v>16</v>
      </c>
      <c r="D14" s="37">
        <v>15</v>
      </c>
      <c r="E14" s="38">
        <v>0.25</v>
      </c>
      <c r="F14" s="38">
        <v>1</v>
      </c>
    </row>
    <row r="15" spans="2:9" ht="18" x14ac:dyDescent="0.35">
      <c r="B15" s="36" t="s">
        <v>19</v>
      </c>
      <c r="C15" s="37" t="s">
        <v>20</v>
      </c>
      <c r="D15" s="37">
        <v>10</v>
      </c>
      <c r="E15" s="38">
        <v>0.25</v>
      </c>
      <c r="F15" s="38">
        <v>8.5</v>
      </c>
    </row>
    <row r="16" spans="2:9" ht="18" x14ac:dyDescent="0.35">
      <c r="B16" s="36" t="s">
        <v>21</v>
      </c>
      <c r="C16" s="37" t="s">
        <v>20</v>
      </c>
      <c r="D16" s="37">
        <v>12</v>
      </c>
      <c r="E16" s="38">
        <v>10</v>
      </c>
      <c r="F16" s="38">
        <v>5</v>
      </c>
    </row>
    <row r="17" spans="2:6" ht="18" x14ac:dyDescent="0.35">
      <c r="B17" s="36" t="s">
        <v>22</v>
      </c>
      <c r="C17" s="37" t="s">
        <v>9</v>
      </c>
      <c r="D17" s="37">
        <v>4</v>
      </c>
      <c r="E17" s="38">
        <v>2</v>
      </c>
      <c r="F17" s="38">
        <v>2</v>
      </c>
    </row>
    <row r="18" spans="2:6" ht="18" x14ac:dyDescent="0.35">
      <c r="B18" s="36" t="s">
        <v>23</v>
      </c>
      <c r="C18" s="37" t="s">
        <v>16</v>
      </c>
      <c r="D18" s="37">
        <v>10</v>
      </c>
      <c r="E18" s="38">
        <v>1</v>
      </c>
      <c r="F18" s="38">
        <v>5</v>
      </c>
    </row>
    <row r="19" spans="2:6" ht="18" x14ac:dyDescent="0.35">
      <c r="B19" s="36" t="s">
        <v>24</v>
      </c>
      <c r="C19" s="37" t="s">
        <v>16</v>
      </c>
      <c r="D19" s="37">
        <v>2</v>
      </c>
      <c r="E19" s="38">
        <v>0.75</v>
      </c>
      <c r="F19" s="38">
        <v>1.5</v>
      </c>
    </row>
    <row r="20" spans="2:6" ht="18" x14ac:dyDescent="0.35">
      <c r="B20" s="36" t="s">
        <v>25</v>
      </c>
      <c r="C20" s="37" t="s">
        <v>9</v>
      </c>
      <c r="D20" s="37">
        <v>10</v>
      </c>
      <c r="E20" s="38">
        <v>0.25</v>
      </c>
      <c r="F20" s="38">
        <v>7.5</v>
      </c>
    </row>
    <row r="21" spans="2:6" ht="18" x14ac:dyDescent="0.35">
      <c r="B21" s="36" t="s">
        <v>26</v>
      </c>
      <c r="C21" s="37" t="s">
        <v>16</v>
      </c>
      <c r="D21" s="37">
        <v>5</v>
      </c>
      <c r="E21" s="38">
        <v>0.75</v>
      </c>
      <c r="F21" s="38">
        <v>10</v>
      </c>
    </row>
    <row r="22" spans="2:6" ht="18" x14ac:dyDescent="0.35">
      <c r="B22" s="36" t="s">
        <v>27</v>
      </c>
      <c r="C22" s="37" t="s">
        <v>9</v>
      </c>
      <c r="D22" s="37">
        <v>2</v>
      </c>
      <c r="E22" s="38">
        <v>8</v>
      </c>
      <c r="F22" s="38">
        <v>15</v>
      </c>
    </row>
    <row r="23" spans="2:6" ht="18" x14ac:dyDescent="0.35">
      <c r="B23" s="36" t="s">
        <v>28</v>
      </c>
      <c r="C23" s="37" t="s">
        <v>9</v>
      </c>
      <c r="D23" s="37">
        <v>2</v>
      </c>
      <c r="E23" s="38">
        <v>4.5</v>
      </c>
      <c r="F23" s="38">
        <v>15</v>
      </c>
    </row>
    <row r="24" spans="2:6" ht="18" x14ac:dyDescent="0.35">
      <c r="B24" s="36" t="s">
        <v>29</v>
      </c>
      <c r="C24" s="37" t="s">
        <v>30</v>
      </c>
      <c r="D24" s="37">
        <v>5</v>
      </c>
      <c r="E24" s="38">
        <v>0.25</v>
      </c>
      <c r="F24" s="38">
        <v>2</v>
      </c>
    </row>
    <row r="25" spans="2:6" ht="18" x14ac:dyDescent="0.35">
      <c r="B25" s="36" t="s">
        <v>31</v>
      </c>
      <c r="C25" s="37" t="s">
        <v>30</v>
      </c>
      <c r="D25" s="37">
        <v>5</v>
      </c>
      <c r="E25" s="38">
        <v>0.75</v>
      </c>
      <c r="F25" s="38">
        <v>8</v>
      </c>
    </row>
    <row r="26" spans="2:6" ht="18" x14ac:dyDescent="0.35">
      <c r="B26" s="36" t="s">
        <v>32</v>
      </c>
      <c r="C26" s="37" t="s">
        <v>9</v>
      </c>
      <c r="D26" s="37">
        <v>2</v>
      </c>
      <c r="E26" s="38">
        <v>1</v>
      </c>
      <c r="F26" s="38">
        <v>3</v>
      </c>
    </row>
    <row r="27" spans="2:6" ht="18" x14ac:dyDescent="0.35">
      <c r="B27" s="36" t="s">
        <v>33</v>
      </c>
      <c r="C27" s="37" t="s">
        <v>9</v>
      </c>
      <c r="D27" s="37">
        <v>2</v>
      </c>
      <c r="E27" s="38">
        <v>2.5</v>
      </c>
      <c r="F27" s="38">
        <v>3.5</v>
      </c>
    </row>
    <row r="28" spans="2:6" ht="18" x14ac:dyDescent="0.35">
      <c r="B28" s="36" t="s">
        <v>34</v>
      </c>
      <c r="C28" s="37" t="s">
        <v>9</v>
      </c>
      <c r="D28" s="37">
        <v>2</v>
      </c>
      <c r="E28" s="38">
        <v>1.5</v>
      </c>
      <c r="F28" s="38">
        <v>3</v>
      </c>
    </row>
    <row r="29" spans="2:6" ht="18" x14ac:dyDescent="0.35">
      <c r="B29" s="36" t="s">
        <v>35</v>
      </c>
      <c r="C29" s="37" t="s">
        <v>9</v>
      </c>
      <c r="D29" s="37">
        <v>2</v>
      </c>
      <c r="E29" s="38">
        <v>3</v>
      </c>
      <c r="F29" s="38">
        <v>4.5</v>
      </c>
    </row>
    <row r="30" spans="2:6" ht="18" x14ac:dyDescent="0.35">
      <c r="B30" s="36" t="s">
        <v>36</v>
      </c>
      <c r="C30" s="37" t="s">
        <v>16</v>
      </c>
      <c r="D30" s="37">
        <v>10</v>
      </c>
      <c r="E30" s="38">
        <v>2</v>
      </c>
      <c r="F30" s="38">
        <v>8</v>
      </c>
    </row>
    <row r="31" spans="2:6" ht="18" x14ac:dyDescent="0.35">
      <c r="B31" s="36" t="s">
        <v>37</v>
      </c>
      <c r="C31" s="37" t="s">
        <v>9</v>
      </c>
      <c r="D31" s="37">
        <v>10</v>
      </c>
      <c r="E31" s="38">
        <v>0.25</v>
      </c>
      <c r="F31" s="38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29" customFormat="1" ht="60" customHeight="1" x14ac:dyDescent="0.25">
      <c r="E1" s="39" t="s">
        <v>38</v>
      </c>
      <c r="F1" s="30"/>
    </row>
    <row r="2" spans="2:8" s="34" customFormat="1" ht="6" customHeight="1" x14ac:dyDescent="0.25">
      <c r="F2" s="35"/>
    </row>
    <row r="5" spans="2:8" x14ac:dyDescent="0.25">
      <c r="B5" s="49" t="s">
        <v>39</v>
      </c>
      <c r="C5" s="49" t="s">
        <v>40</v>
      </c>
      <c r="D5" s="49" t="s">
        <v>41</v>
      </c>
      <c r="E5" s="49" t="s">
        <v>42</v>
      </c>
    </row>
    <row r="6" spans="2:8" ht="18" x14ac:dyDescent="0.35">
      <c r="B6" s="36" t="s">
        <v>43</v>
      </c>
      <c r="C6" s="37" t="s">
        <v>44</v>
      </c>
      <c r="D6" s="37" t="s">
        <v>45</v>
      </c>
      <c r="E6" s="38" t="s">
        <v>46</v>
      </c>
    </row>
    <row r="7" spans="2:8" ht="18" x14ac:dyDescent="0.35">
      <c r="B7" s="36" t="s">
        <v>47</v>
      </c>
      <c r="C7" s="37" t="s">
        <v>48</v>
      </c>
      <c r="D7" s="37" t="s">
        <v>49</v>
      </c>
      <c r="E7" s="38" t="s">
        <v>50</v>
      </c>
    </row>
    <row r="8" spans="2:8" ht="18" x14ac:dyDescent="0.35">
      <c r="B8" s="36" t="s">
        <v>51</v>
      </c>
      <c r="C8" s="37" t="s">
        <v>52</v>
      </c>
      <c r="D8" s="37" t="s">
        <v>53</v>
      </c>
      <c r="E8" s="38" t="s">
        <v>54</v>
      </c>
      <c r="H8" t="s">
        <v>55</v>
      </c>
    </row>
    <row r="9" spans="2:8" ht="18" x14ac:dyDescent="0.35">
      <c r="B9" s="36" t="s">
        <v>56</v>
      </c>
      <c r="C9" s="37" t="s">
        <v>57</v>
      </c>
      <c r="D9" s="37" t="s">
        <v>58</v>
      </c>
      <c r="E9" s="38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A1:H59"/>
  <sheetViews>
    <sheetView showGridLines="0" zoomScale="140" zoomScaleNormal="140" workbookViewId="0">
      <selection activeCell="E11" sqref="E11"/>
    </sheetView>
  </sheetViews>
  <sheetFormatPr defaultColWidth="9.140625" defaultRowHeight="15" x14ac:dyDescent="0.25"/>
  <cols>
    <col min="1" max="1" width="10.7109375" bestFit="1" customWidth="1"/>
    <col min="2" max="2" width="9.140625" customWidth="1"/>
    <col min="3" max="3" width="15.7109375" customWidth="1"/>
    <col min="4" max="4" width="17.140625" style="2" customWidth="1"/>
    <col min="5" max="5" width="18" style="2" customWidth="1"/>
    <col min="6" max="6" width="22.85546875" customWidth="1"/>
    <col min="7" max="7" width="22.28515625" style="2" customWidth="1"/>
    <col min="8" max="8" width="17.42578125" customWidth="1"/>
    <col min="9" max="9" width="18.42578125" customWidth="1"/>
  </cols>
  <sheetData>
    <row r="1" spans="1:8" s="29" customFormat="1" ht="60" customHeight="1" x14ac:dyDescent="0.25">
      <c r="F1" s="39" t="s">
        <v>60</v>
      </c>
      <c r="G1" s="30"/>
    </row>
    <row r="2" spans="1:8" s="34" customFormat="1" ht="6" customHeight="1" x14ac:dyDescent="0.25">
      <c r="G2" s="35"/>
    </row>
    <row r="4" spans="1:8" x14ac:dyDescent="0.25">
      <c r="D4"/>
    </row>
    <row r="5" spans="1:8" s="4" customFormat="1" x14ac:dyDescent="0.25">
      <c r="B5" s="86" t="s">
        <v>108</v>
      </c>
      <c r="C5" s="50" t="s">
        <v>61</v>
      </c>
      <c r="D5" s="50" t="s">
        <v>1</v>
      </c>
      <c r="E5" s="50" t="s">
        <v>62</v>
      </c>
      <c r="F5" s="50" t="s">
        <v>63</v>
      </c>
      <c r="G5" s="51" t="s">
        <v>4</v>
      </c>
      <c r="H5" s="51" t="s">
        <v>64</v>
      </c>
    </row>
    <row r="6" spans="1:8" ht="18" x14ac:dyDescent="0.35">
      <c r="A6" s="3"/>
      <c r="B6" s="52">
        <f>MONTH(TB_Entradas[[#This Row],[Data]])</f>
        <v>1</v>
      </c>
      <c r="C6" s="47">
        <v>44566</v>
      </c>
      <c r="D6" s="44" t="s">
        <v>6</v>
      </c>
      <c r="E6" s="37" t="s">
        <v>43</v>
      </c>
      <c r="F6" s="45">
        <v>100</v>
      </c>
      <c r="G6" s="46" cm="1">
        <f t="array" ref="G6">_xlfn.XLOOKUP(TB_Entradas[[#This Row],[Produto]],TB_Produtos[[#All],[Produto]],TB_Produtos[[#All],[Custo Unitário]],"Produto não Encontrado",0,1)</f>
        <v>2</v>
      </c>
      <c r="H6" s="46">
        <f>IFERROR(TB_Entradas[[#This Row],[Quantidade Comprada]]*TB_Entradas[[#This Row],[Custo Unitário]],"Erro ao calcular")</f>
        <v>200</v>
      </c>
    </row>
    <row r="7" spans="1:8" ht="18" x14ac:dyDescent="0.35">
      <c r="B7" s="52">
        <f>MONTH(TB_Entradas[[#This Row],[Data]])</f>
        <v>1</v>
      </c>
      <c r="C7" s="47">
        <v>44566</v>
      </c>
      <c r="D7" s="44" t="s">
        <v>10</v>
      </c>
      <c r="E7" s="37" t="s">
        <v>56</v>
      </c>
      <c r="F7" s="45">
        <v>100</v>
      </c>
      <c r="G7" s="46" cm="1">
        <f t="array" ref="G7">_xlfn.XLOOKUP(TB_Entradas[[#This Row],[Produto]],TB_Produtos[[#All],[Produto]],TB_Produtos[[#All],[Custo Unitário]],"Produto não Encontrado",0,1)</f>
        <v>0.5</v>
      </c>
      <c r="H7" s="46">
        <f>IFERROR(TB_Entradas[[#This Row],[Quantidade Comprada]]*TB_Entradas[[#This Row],[Custo Unitário]],"Erro ao calcular")</f>
        <v>50</v>
      </c>
    </row>
    <row r="8" spans="1:8" ht="18" x14ac:dyDescent="0.35">
      <c r="B8" s="52">
        <f>MONTH(TB_Entradas[[#This Row],[Data]])</f>
        <v>1</v>
      </c>
      <c r="C8" s="47">
        <v>44576</v>
      </c>
      <c r="D8" s="44" t="s">
        <v>19</v>
      </c>
      <c r="E8" s="37" t="s">
        <v>43</v>
      </c>
      <c r="F8" s="45">
        <v>90</v>
      </c>
      <c r="G8" s="46" cm="1">
        <f t="array" ref="G8">_xlfn.XLOOKUP(TB_Entradas[[#This Row],[Produto]],TB_Produtos[[#All],[Produto]],TB_Produtos[[#All],[Custo Unitário]],"Produto não Encontrado",0,1)</f>
        <v>0.25</v>
      </c>
      <c r="H8" s="46">
        <f>IFERROR(TB_Entradas[[#This Row],[Quantidade Comprada]]*TB_Entradas[[#This Row],[Custo Unitário]],"Erro ao calcular")</f>
        <v>22.5</v>
      </c>
    </row>
    <row r="9" spans="1:8" ht="18" x14ac:dyDescent="0.35">
      <c r="B9" s="52">
        <f>MONTH(TB_Entradas[[#This Row],[Data]])</f>
        <v>1</v>
      </c>
      <c r="C9" s="47">
        <v>44578</v>
      </c>
      <c r="D9" s="44" t="s">
        <v>25</v>
      </c>
      <c r="E9" s="37" t="s">
        <v>56</v>
      </c>
      <c r="F9" s="45">
        <v>100</v>
      </c>
      <c r="G9" s="46" cm="1">
        <f t="array" ref="G9">_xlfn.XLOOKUP(TB_Entradas[[#This Row],[Produto]],TB_Produtos[[#All],[Produto]],TB_Produtos[[#All],[Custo Unitário]],"Produto não Encontrado",0,1)</f>
        <v>0.25</v>
      </c>
      <c r="H9" s="46">
        <f>IFERROR(TB_Entradas[[#This Row],[Quantidade Comprada]]*TB_Entradas[[#This Row],[Custo Unitário]],"Erro ao calcular")</f>
        <v>25</v>
      </c>
    </row>
    <row r="10" spans="1:8" ht="18" x14ac:dyDescent="0.35">
      <c r="B10" s="52">
        <f>MONTH(TB_Entradas[[#This Row],[Data]])</f>
        <v>2</v>
      </c>
      <c r="C10" s="47">
        <v>44593</v>
      </c>
      <c r="D10" s="44" t="s">
        <v>25</v>
      </c>
      <c r="E10" s="37" t="s">
        <v>56</v>
      </c>
      <c r="F10" s="45">
        <v>85</v>
      </c>
      <c r="G10" s="46" cm="1">
        <f t="array" ref="G10">_xlfn.XLOOKUP(TB_Entradas[[#This Row],[Produto]],TB_Produtos[[#All],[Produto]],TB_Produtos[[#All],[Custo Unitário]],"Produto não Encontrado",0,1)</f>
        <v>0.25</v>
      </c>
      <c r="H10" s="46">
        <f>IFERROR(TB_Entradas[[#This Row],[Quantidade Comprada]]*TB_Entradas[[#This Row],[Custo Unitário]],"Erro ao calcular")</f>
        <v>21.25</v>
      </c>
    </row>
    <row r="11" spans="1:8" ht="18" x14ac:dyDescent="0.35">
      <c r="B11" s="52">
        <f>MONTH(TB_Entradas[[#This Row],[Data]])</f>
        <v>2</v>
      </c>
      <c r="C11" s="47">
        <v>44594</v>
      </c>
      <c r="D11" s="44" t="s">
        <v>19</v>
      </c>
      <c r="E11" s="37" t="s">
        <v>43</v>
      </c>
      <c r="F11" s="45">
        <v>80</v>
      </c>
      <c r="G11" s="46" cm="1">
        <f t="array" ref="G11">_xlfn.XLOOKUP(TB_Entradas[[#This Row],[Produto]],TB_Produtos[[#All],[Produto]],TB_Produtos[[#All],[Custo Unitário]],"Produto não Encontrado",0,1)</f>
        <v>0.25</v>
      </c>
      <c r="H11" s="46">
        <f>IFERROR(TB_Entradas[[#This Row],[Quantidade Comprada]]*TB_Entradas[[#This Row],[Custo Unitário]],"Erro ao calcular")</f>
        <v>20</v>
      </c>
    </row>
    <row r="12" spans="1:8" ht="18" x14ac:dyDescent="0.35">
      <c r="B12" s="52">
        <f>MONTH(TB_Entradas[[#This Row],[Data]])</f>
        <v>2</v>
      </c>
      <c r="C12" s="47">
        <v>44598</v>
      </c>
      <c r="D12" s="44" t="s">
        <v>6</v>
      </c>
      <c r="E12" s="37" t="s">
        <v>43</v>
      </c>
      <c r="F12" s="45">
        <v>125</v>
      </c>
      <c r="G12" s="46" cm="1">
        <f t="array" ref="G12">_xlfn.XLOOKUP(TB_Entradas[[#This Row],[Produto]],TB_Produtos[[#All],[Produto]],TB_Produtos[[#All],[Custo Unitário]],"Produto não Encontrado",0,1)</f>
        <v>2</v>
      </c>
      <c r="H12" s="46">
        <f>IFERROR(TB_Entradas[[#This Row],[Quantidade Comprada]]*TB_Entradas[[#This Row],[Custo Unitário]],"Erro ao calcular")</f>
        <v>250</v>
      </c>
    </row>
    <row r="13" spans="1:8" ht="18" x14ac:dyDescent="0.35">
      <c r="B13" s="52">
        <f>MONTH(TB_Entradas[[#This Row],[Data]])</f>
        <v>2</v>
      </c>
      <c r="C13" s="47">
        <v>44602</v>
      </c>
      <c r="D13" s="44" t="s">
        <v>31</v>
      </c>
      <c r="E13" s="37" t="s">
        <v>51</v>
      </c>
      <c r="F13" s="45">
        <v>50</v>
      </c>
      <c r="G13" s="46" cm="1">
        <f t="array" ref="G13">_xlfn.XLOOKUP(TB_Entradas[[#This Row],[Produto]],TB_Produtos[[#All],[Produto]],TB_Produtos[[#All],[Custo Unitário]],"Produto não Encontrado",0,1)</f>
        <v>0.75</v>
      </c>
      <c r="H13" s="46">
        <f>IFERROR(TB_Entradas[[#This Row],[Quantidade Comprada]]*TB_Entradas[[#This Row],[Custo Unitário]],"Erro ao calcular")</f>
        <v>37.5</v>
      </c>
    </row>
    <row r="14" spans="1:8" ht="18" x14ac:dyDescent="0.35">
      <c r="B14" s="52">
        <f>MONTH(TB_Entradas[[#This Row],[Data]])</f>
        <v>2</v>
      </c>
      <c r="C14" s="47">
        <v>44612</v>
      </c>
      <c r="D14" s="44" t="s">
        <v>10</v>
      </c>
      <c r="E14" s="37" t="s">
        <v>56</v>
      </c>
      <c r="F14" s="45">
        <v>100</v>
      </c>
      <c r="G14" s="46" cm="1">
        <f t="array" ref="G14">_xlfn.XLOOKUP(TB_Entradas[[#This Row],[Produto]],TB_Produtos[[#All],[Produto]],TB_Produtos[[#All],[Custo Unitário]],"Produto não Encontrado",0,1)</f>
        <v>0.5</v>
      </c>
      <c r="H14" s="46">
        <f>IFERROR(TB_Entradas[[#This Row],[Quantidade Comprada]]*TB_Entradas[[#This Row],[Custo Unitário]],"Erro ao calcular")</f>
        <v>50</v>
      </c>
    </row>
    <row r="15" spans="1:8" ht="18" x14ac:dyDescent="0.35">
      <c r="B15" s="52">
        <f>MONTH(TB_Entradas[[#This Row],[Data]])</f>
        <v>3</v>
      </c>
      <c r="C15" s="47">
        <v>44625</v>
      </c>
      <c r="D15" s="44" t="s">
        <v>36</v>
      </c>
      <c r="E15" s="37" t="s">
        <v>51</v>
      </c>
      <c r="F15" s="45">
        <v>250</v>
      </c>
      <c r="G15" s="46" cm="1">
        <f t="array" ref="G15">_xlfn.XLOOKUP(TB_Entradas[[#This Row],[Produto]],TB_Produtos[[#All],[Produto]],TB_Produtos[[#All],[Custo Unitário]],"Produto não Encontrado",0,1)</f>
        <v>2</v>
      </c>
      <c r="H15" s="46">
        <f>IFERROR(TB_Entradas[[#This Row],[Quantidade Comprada]]*TB_Entradas[[#This Row],[Custo Unitário]],"Erro ao calcular")</f>
        <v>500</v>
      </c>
    </row>
    <row r="16" spans="1:8" ht="18" x14ac:dyDescent="0.35">
      <c r="B16" s="52">
        <f>MONTH(TB_Entradas[[#This Row],[Data]])</f>
        <v>3</v>
      </c>
      <c r="C16" s="47">
        <v>44630</v>
      </c>
      <c r="D16" s="44" t="s">
        <v>25</v>
      </c>
      <c r="E16" s="37" t="s">
        <v>56</v>
      </c>
      <c r="F16" s="45">
        <v>50</v>
      </c>
      <c r="G16" s="46" cm="1">
        <f t="array" ref="G16">_xlfn.XLOOKUP(TB_Entradas[[#This Row],[Produto]],TB_Produtos[[#All],[Produto]],TB_Produtos[[#All],[Custo Unitário]],"Produto não Encontrado",0,1)</f>
        <v>0.25</v>
      </c>
      <c r="H16" s="46">
        <f>IFERROR(TB_Entradas[[#This Row],[Quantidade Comprada]]*TB_Entradas[[#This Row],[Custo Unitário]],"Erro ao calcular")</f>
        <v>12.5</v>
      </c>
    </row>
    <row r="17" spans="2:8" ht="18" x14ac:dyDescent="0.35">
      <c r="B17" s="52">
        <f>MONTH(TB_Entradas[[#This Row],[Data]])</f>
        <v>3</v>
      </c>
      <c r="C17" s="47">
        <v>44635</v>
      </c>
      <c r="D17" s="44" t="s">
        <v>6</v>
      </c>
      <c r="E17" s="37" t="s">
        <v>43</v>
      </c>
      <c r="F17" s="45">
        <v>150</v>
      </c>
      <c r="G17" s="46" cm="1">
        <f t="array" ref="G17">_xlfn.XLOOKUP(TB_Entradas[[#This Row],[Produto]],TB_Produtos[[#All],[Produto]],TB_Produtos[[#All],[Custo Unitário]],"Produto não Encontrado",0,1)</f>
        <v>2</v>
      </c>
      <c r="H17" s="46">
        <f>IFERROR(TB_Entradas[[#This Row],[Quantidade Comprada]]*TB_Entradas[[#This Row],[Custo Unitário]],"Erro ao calcular")</f>
        <v>300</v>
      </c>
    </row>
    <row r="18" spans="2:8" ht="18" x14ac:dyDescent="0.35">
      <c r="B18" s="52">
        <f>MONTH(TB_Entradas[[#This Row],[Data]])</f>
        <v>3</v>
      </c>
      <c r="C18" s="47">
        <v>44637</v>
      </c>
      <c r="D18" s="44" t="s">
        <v>26</v>
      </c>
      <c r="E18" s="37" t="s">
        <v>43</v>
      </c>
      <c r="F18" s="45">
        <v>100</v>
      </c>
      <c r="G18" s="46" cm="1">
        <f t="array" ref="G18">_xlfn.XLOOKUP(TB_Entradas[[#This Row],[Produto]],TB_Produtos[[#All],[Produto]],TB_Produtos[[#All],[Custo Unitário]],"Produto não Encontrado",0,1)</f>
        <v>0.75</v>
      </c>
      <c r="H18" s="46">
        <f>IFERROR(TB_Entradas[[#This Row],[Quantidade Comprada]]*TB_Entradas[[#This Row],[Custo Unitário]],"Erro ao calcular")</f>
        <v>75</v>
      </c>
    </row>
    <row r="19" spans="2:8" ht="18" x14ac:dyDescent="0.35">
      <c r="B19" s="52">
        <f>MONTH(TB_Entradas[[#This Row],[Data]])</f>
        <v>3</v>
      </c>
      <c r="C19" s="47">
        <v>44644</v>
      </c>
      <c r="D19" s="44" t="s">
        <v>19</v>
      </c>
      <c r="E19" s="37" t="s">
        <v>43</v>
      </c>
      <c r="F19" s="45">
        <v>40</v>
      </c>
      <c r="G19" s="46" cm="1">
        <f t="array" ref="G19">_xlfn.XLOOKUP(TB_Entradas[[#This Row],[Produto]],TB_Produtos[[#All],[Produto]],TB_Produtos[[#All],[Custo Unitário]],"Produto não Encontrado",0,1)</f>
        <v>0.25</v>
      </c>
      <c r="H19" s="46">
        <f>IFERROR(TB_Entradas[[#This Row],[Quantidade Comprada]]*TB_Entradas[[#This Row],[Custo Unitário]],"Erro ao calcular")</f>
        <v>10</v>
      </c>
    </row>
    <row r="20" spans="2:8" ht="18" x14ac:dyDescent="0.35">
      <c r="B20" s="52">
        <f>MONTH(TB_Entradas[[#This Row],[Data]])</f>
        <v>3</v>
      </c>
      <c r="C20" s="47">
        <v>44647</v>
      </c>
      <c r="D20" s="44" t="s">
        <v>10</v>
      </c>
      <c r="E20" s="37" t="s">
        <v>56</v>
      </c>
      <c r="F20" s="45">
        <v>50</v>
      </c>
      <c r="G20" s="46" cm="1">
        <f t="array" ref="G20">_xlfn.XLOOKUP(TB_Entradas[[#This Row],[Produto]],TB_Produtos[[#All],[Produto]],TB_Produtos[[#All],[Custo Unitário]],"Produto não Encontrado",0,1)</f>
        <v>0.5</v>
      </c>
      <c r="H20" s="46">
        <f>IFERROR(TB_Entradas[[#This Row],[Quantidade Comprada]]*TB_Entradas[[#This Row],[Custo Unitário]],"Erro ao calcular")</f>
        <v>25</v>
      </c>
    </row>
    <row r="21" spans="2:8" ht="18" x14ac:dyDescent="0.35">
      <c r="B21" s="52">
        <f>MONTH(TB_Entradas[[#This Row],[Data]])</f>
        <v>4</v>
      </c>
      <c r="C21" s="47">
        <v>44655</v>
      </c>
      <c r="D21" s="44" t="s">
        <v>25</v>
      </c>
      <c r="E21" s="37" t="s">
        <v>56</v>
      </c>
      <c r="F21" s="45">
        <v>90</v>
      </c>
      <c r="G21" s="46" cm="1">
        <f t="array" ref="G21">_xlfn.XLOOKUP(TB_Entradas[[#This Row],[Produto]],TB_Produtos[[#All],[Produto]],TB_Produtos[[#All],[Custo Unitário]],"Produto não Encontrado",0,1)</f>
        <v>0.25</v>
      </c>
      <c r="H21" s="46">
        <f>IFERROR(TB_Entradas[[#This Row],[Quantidade Comprada]]*TB_Entradas[[#This Row],[Custo Unitário]],"Erro ao calcular")</f>
        <v>22.5</v>
      </c>
    </row>
    <row r="22" spans="2:8" ht="18" x14ac:dyDescent="0.35">
      <c r="B22" s="52">
        <f>MONTH(TB_Entradas[[#This Row],[Data]])</f>
        <v>4</v>
      </c>
      <c r="C22" s="47">
        <v>44661</v>
      </c>
      <c r="D22" s="44" t="s">
        <v>6</v>
      </c>
      <c r="E22" s="37" t="s">
        <v>43</v>
      </c>
      <c r="F22" s="45">
        <v>150</v>
      </c>
      <c r="G22" s="46" cm="1">
        <f t="array" ref="G22">_xlfn.XLOOKUP(TB_Entradas[[#This Row],[Produto]],TB_Produtos[[#All],[Produto]],TB_Produtos[[#All],[Custo Unitário]],"Produto não Encontrado",0,1)</f>
        <v>2</v>
      </c>
      <c r="H22" s="46">
        <f>IFERROR(TB_Entradas[[#This Row],[Quantidade Comprada]]*TB_Entradas[[#This Row],[Custo Unitário]],"Erro ao calcular")</f>
        <v>300</v>
      </c>
    </row>
    <row r="23" spans="2:8" ht="18" x14ac:dyDescent="0.35">
      <c r="B23" s="52">
        <f>MONTH(TB_Entradas[[#This Row],[Data]])</f>
        <v>4</v>
      </c>
      <c r="C23" s="47">
        <v>44672</v>
      </c>
      <c r="D23" s="44" t="s">
        <v>19</v>
      </c>
      <c r="E23" s="37" t="s">
        <v>43</v>
      </c>
      <c r="F23" s="45">
        <v>60</v>
      </c>
      <c r="G23" s="46" cm="1">
        <f t="array" ref="G23">_xlfn.XLOOKUP(TB_Entradas[[#This Row],[Produto]],TB_Produtos[[#All],[Produto]],TB_Produtos[[#All],[Custo Unitário]],"Produto não Encontrado",0,1)</f>
        <v>0.25</v>
      </c>
      <c r="H23" s="46">
        <f>IFERROR(TB_Entradas[[#This Row],[Quantidade Comprada]]*TB_Entradas[[#This Row],[Custo Unitário]],"Erro ao calcular")</f>
        <v>15</v>
      </c>
    </row>
    <row r="24" spans="2:8" ht="18" x14ac:dyDescent="0.35">
      <c r="B24" s="52">
        <f>MONTH(TB_Entradas[[#This Row],[Data]])</f>
        <v>4</v>
      </c>
      <c r="C24" s="47">
        <v>44681</v>
      </c>
      <c r="D24" s="44" t="s">
        <v>10</v>
      </c>
      <c r="E24" s="37" t="s">
        <v>56</v>
      </c>
      <c r="F24" s="45">
        <v>50</v>
      </c>
      <c r="G24" s="46" cm="1">
        <f t="array" ref="G24">_xlfn.XLOOKUP(TB_Entradas[[#This Row],[Produto]],TB_Produtos[[#All],[Produto]],TB_Produtos[[#All],[Custo Unitário]],"Produto não Encontrado",0,1)</f>
        <v>0.5</v>
      </c>
      <c r="H24" s="46">
        <f>IFERROR(TB_Entradas[[#This Row],[Quantidade Comprada]]*TB_Entradas[[#This Row],[Custo Unitário]],"Erro ao calcular")</f>
        <v>25</v>
      </c>
    </row>
    <row r="25" spans="2:8" ht="18" x14ac:dyDescent="0.35">
      <c r="B25" s="52">
        <f>MONTH(TB_Entradas[[#This Row],[Data]])</f>
        <v>5</v>
      </c>
      <c r="C25" s="47">
        <v>44686</v>
      </c>
      <c r="D25" s="44" t="s">
        <v>27</v>
      </c>
      <c r="E25" s="37" t="s">
        <v>47</v>
      </c>
      <c r="F25" s="45">
        <v>60</v>
      </c>
      <c r="G25" s="46" cm="1">
        <f t="array" ref="G25">_xlfn.XLOOKUP(TB_Entradas[[#This Row],[Produto]],TB_Produtos[[#All],[Produto]],TB_Produtos[[#All],[Custo Unitário]],"Produto não Encontrado",0,1)</f>
        <v>8</v>
      </c>
      <c r="H25" s="46">
        <f>IFERROR(TB_Entradas[[#This Row],[Quantidade Comprada]]*TB_Entradas[[#This Row],[Custo Unitário]],"Erro ao calcular")</f>
        <v>480</v>
      </c>
    </row>
    <row r="26" spans="2:8" ht="18" x14ac:dyDescent="0.35">
      <c r="B26" s="52">
        <f>MONTH(TB_Entradas[[#This Row],[Data]])</f>
        <v>5</v>
      </c>
      <c r="C26" s="47">
        <v>44687</v>
      </c>
      <c r="D26" s="44" t="s">
        <v>10</v>
      </c>
      <c r="E26" s="37" t="s">
        <v>56</v>
      </c>
      <c r="F26" s="45">
        <v>50</v>
      </c>
      <c r="G26" s="46" cm="1">
        <f t="array" ref="G26">_xlfn.XLOOKUP(TB_Entradas[[#This Row],[Produto]],TB_Produtos[[#All],[Produto]],TB_Produtos[[#All],[Custo Unitário]],"Produto não Encontrado",0,1)</f>
        <v>0.5</v>
      </c>
      <c r="H26" s="46">
        <f>IFERROR(TB_Entradas[[#This Row],[Quantidade Comprada]]*TB_Entradas[[#This Row],[Custo Unitário]],"Erro ao calcular")</f>
        <v>25</v>
      </c>
    </row>
    <row r="27" spans="2:8" ht="18" x14ac:dyDescent="0.35">
      <c r="B27" s="52">
        <f>MONTH(TB_Entradas[[#This Row],[Data]])</f>
        <v>5</v>
      </c>
      <c r="C27" s="47">
        <v>44691</v>
      </c>
      <c r="D27" s="44" t="s">
        <v>25</v>
      </c>
      <c r="E27" s="37" t="s">
        <v>56</v>
      </c>
      <c r="F27" s="45">
        <v>30</v>
      </c>
      <c r="G27" s="46" cm="1">
        <f t="array" ref="G27">_xlfn.XLOOKUP(TB_Entradas[[#This Row],[Produto]],TB_Produtos[[#All],[Produto]],TB_Produtos[[#All],[Custo Unitário]],"Produto não Encontrado",0,1)</f>
        <v>0.25</v>
      </c>
      <c r="H27" s="46">
        <f>IFERROR(TB_Entradas[[#This Row],[Quantidade Comprada]]*TB_Entradas[[#This Row],[Custo Unitário]],"Erro ao calcular")</f>
        <v>7.5</v>
      </c>
    </row>
    <row r="28" spans="2:8" ht="18" x14ac:dyDescent="0.35">
      <c r="B28" s="52">
        <f>MONTH(TB_Entradas[[#This Row],[Data]])</f>
        <v>5</v>
      </c>
      <c r="C28" s="47">
        <v>44691</v>
      </c>
      <c r="D28" s="44" t="s">
        <v>6</v>
      </c>
      <c r="E28" s="37" t="s">
        <v>43</v>
      </c>
      <c r="F28" s="45">
        <v>100</v>
      </c>
      <c r="G28" s="46" cm="1">
        <f t="array" ref="G28">_xlfn.XLOOKUP(TB_Entradas[[#This Row],[Produto]],TB_Produtos[[#All],[Produto]],TB_Produtos[[#All],[Custo Unitário]],"Produto não Encontrado",0,1)</f>
        <v>2</v>
      </c>
      <c r="H28" s="46">
        <f>IFERROR(TB_Entradas[[#This Row],[Quantidade Comprada]]*TB_Entradas[[#This Row],[Custo Unitário]],"Erro ao calcular")</f>
        <v>200</v>
      </c>
    </row>
    <row r="29" spans="2:8" ht="18" x14ac:dyDescent="0.35">
      <c r="B29" s="52">
        <f>MONTH(TB_Entradas[[#This Row],[Data]])</f>
        <v>5</v>
      </c>
      <c r="C29" s="47">
        <v>44698</v>
      </c>
      <c r="D29" s="44" t="s">
        <v>19</v>
      </c>
      <c r="E29" s="37" t="s">
        <v>43</v>
      </c>
      <c r="F29" s="45">
        <v>45</v>
      </c>
      <c r="G29" s="46" cm="1">
        <f t="array" ref="G29">_xlfn.XLOOKUP(TB_Entradas[[#This Row],[Produto]],TB_Produtos[[#All],[Produto]],TB_Produtos[[#All],[Custo Unitário]],"Produto não Encontrado",0,1)</f>
        <v>0.25</v>
      </c>
      <c r="H29" s="46">
        <f>IFERROR(TB_Entradas[[#This Row],[Quantidade Comprada]]*TB_Entradas[[#This Row],[Custo Unitário]],"Erro ao calcular")</f>
        <v>11.25</v>
      </c>
    </row>
    <row r="30" spans="2:8" ht="18" x14ac:dyDescent="0.35">
      <c r="B30" s="52">
        <f>MONTH(TB_Entradas[[#This Row],[Data]])</f>
        <v>6</v>
      </c>
      <c r="C30" s="47">
        <v>44714</v>
      </c>
      <c r="D30" s="44" t="s">
        <v>6</v>
      </c>
      <c r="E30" s="37" t="s">
        <v>43</v>
      </c>
      <c r="F30" s="45">
        <v>150</v>
      </c>
      <c r="G30" s="46" cm="1">
        <f t="array" ref="G30">_xlfn.XLOOKUP(TB_Entradas[[#This Row],[Produto]],TB_Produtos[[#All],[Produto]],TB_Produtos[[#All],[Custo Unitário]],"Produto não Encontrado",0,1)</f>
        <v>2</v>
      </c>
      <c r="H30" s="46">
        <f>IFERROR(TB_Entradas[[#This Row],[Quantidade Comprada]]*TB_Entradas[[#This Row],[Custo Unitário]],"Erro ao calcular")</f>
        <v>300</v>
      </c>
    </row>
    <row r="31" spans="2:8" ht="18" x14ac:dyDescent="0.35">
      <c r="B31" s="52">
        <f>MONTH(TB_Entradas[[#This Row],[Data]])</f>
        <v>6</v>
      </c>
      <c r="C31" s="47">
        <v>44719</v>
      </c>
      <c r="D31" s="44" t="s">
        <v>19</v>
      </c>
      <c r="E31" s="37" t="s">
        <v>43</v>
      </c>
      <c r="F31" s="45">
        <v>115</v>
      </c>
      <c r="G31" s="46" cm="1">
        <f t="array" ref="G31">_xlfn.XLOOKUP(TB_Entradas[[#This Row],[Produto]],TB_Produtos[[#All],[Produto]],TB_Produtos[[#All],[Custo Unitário]],"Produto não Encontrado",0,1)</f>
        <v>0.25</v>
      </c>
      <c r="H31" s="46">
        <f>IFERROR(TB_Entradas[[#This Row],[Quantidade Comprada]]*TB_Entradas[[#This Row],[Custo Unitário]],"Erro ao calcular")</f>
        <v>28.75</v>
      </c>
    </row>
    <row r="32" spans="2:8" ht="18" x14ac:dyDescent="0.35">
      <c r="B32" s="52">
        <f>MONTH(TB_Entradas[[#This Row],[Data]])</f>
        <v>6</v>
      </c>
      <c r="C32" s="47">
        <v>44727</v>
      </c>
      <c r="D32" s="44" t="s">
        <v>25</v>
      </c>
      <c r="E32" s="37" t="s">
        <v>56</v>
      </c>
      <c r="F32" s="45">
        <v>100</v>
      </c>
      <c r="G32" s="46" cm="1">
        <f t="array" ref="G32">_xlfn.XLOOKUP(TB_Entradas[[#This Row],[Produto]],TB_Produtos[[#All],[Produto]],TB_Produtos[[#All],[Custo Unitário]],"Produto não Encontrado",0,1)</f>
        <v>0.25</v>
      </c>
      <c r="H32" s="46">
        <f>IFERROR(TB_Entradas[[#This Row],[Quantidade Comprada]]*TB_Entradas[[#This Row],[Custo Unitário]],"Erro ao calcular")</f>
        <v>25</v>
      </c>
    </row>
    <row r="33" spans="2:8" ht="18" x14ac:dyDescent="0.35">
      <c r="B33" s="52">
        <f>MONTH(TB_Entradas[[#This Row],[Data]])</f>
        <v>6</v>
      </c>
      <c r="C33" s="47">
        <v>44735</v>
      </c>
      <c r="D33" s="44" t="s">
        <v>10</v>
      </c>
      <c r="E33" s="37" t="s">
        <v>56</v>
      </c>
      <c r="F33" s="45">
        <v>45</v>
      </c>
      <c r="G33" s="46" cm="1">
        <f t="array" ref="G33">_xlfn.XLOOKUP(TB_Entradas[[#This Row],[Produto]],TB_Produtos[[#All],[Produto]],TB_Produtos[[#All],[Custo Unitário]],"Produto não Encontrado",0,1)</f>
        <v>0.5</v>
      </c>
      <c r="H33" s="46">
        <f>IFERROR(TB_Entradas[[#This Row],[Quantidade Comprada]]*TB_Entradas[[#This Row],[Custo Unitário]],"Erro ao calcular")</f>
        <v>22.5</v>
      </c>
    </row>
    <row r="34" spans="2:8" ht="18" x14ac:dyDescent="0.35">
      <c r="B34" s="52">
        <f>MONTH(TB_Entradas[[#This Row],[Data]])</f>
        <v>7</v>
      </c>
      <c r="C34" s="47">
        <v>44743</v>
      </c>
      <c r="D34" s="44" t="s">
        <v>6</v>
      </c>
      <c r="E34" s="37" t="s">
        <v>43</v>
      </c>
      <c r="F34" s="45">
        <v>150</v>
      </c>
      <c r="G34" s="46" cm="1">
        <f t="array" ref="G34">_xlfn.XLOOKUP(TB_Entradas[[#This Row],[Produto]],TB_Produtos[[#All],[Produto]],TB_Produtos[[#All],[Custo Unitário]],"Produto não Encontrado",0,1)</f>
        <v>2</v>
      </c>
      <c r="H34" s="46">
        <f>IFERROR(TB_Entradas[[#This Row],[Quantidade Comprada]]*TB_Entradas[[#This Row],[Custo Unitário]],"Erro ao calcular")</f>
        <v>300</v>
      </c>
    </row>
    <row r="35" spans="2:8" ht="18" x14ac:dyDescent="0.35">
      <c r="B35" s="52">
        <f>MONTH(TB_Entradas[[#This Row],[Data]])</f>
        <v>7</v>
      </c>
      <c r="C35" s="47">
        <v>44747</v>
      </c>
      <c r="D35" s="44" t="s">
        <v>25</v>
      </c>
      <c r="E35" s="37" t="s">
        <v>56</v>
      </c>
      <c r="F35" s="45">
        <v>60</v>
      </c>
      <c r="G35" s="46" cm="1">
        <f t="array" ref="G35">_xlfn.XLOOKUP(TB_Entradas[[#This Row],[Produto]],TB_Produtos[[#All],[Produto]],TB_Produtos[[#All],[Custo Unitário]],"Produto não Encontrado",0,1)</f>
        <v>0.25</v>
      </c>
      <c r="H35" s="46">
        <f>IFERROR(TB_Entradas[[#This Row],[Quantidade Comprada]]*TB_Entradas[[#This Row],[Custo Unitário]],"Erro ao calcular")</f>
        <v>15</v>
      </c>
    </row>
    <row r="36" spans="2:8" ht="18" x14ac:dyDescent="0.35">
      <c r="B36" s="52">
        <f>MONTH(TB_Entradas[[#This Row],[Data]])</f>
        <v>7</v>
      </c>
      <c r="C36" s="47">
        <v>44749</v>
      </c>
      <c r="D36" s="44" t="s">
        <v>19</v>
      </c>
      <c r="E36" s="37" t="s">
        <v>43</v>
      </c>
      <c r="F36" s="45">
        <v>120</v>
      </c>
      <c r="G36" s="46" cm="1">
        <f t="array" ref="G36">_xlfn.XLOOKUP(TB_Entradas[[#This Row],[Produto]],TB_Produtos[[#All],[Produto]],TB_Produtos[[#All],[Custo Unitário]],"Produto não Encontrado",0,1)</f>
        <v>0.25</v>
      </c>
      <c r="H36" s="46">
        <f>IFERROR(TB_Entradas[[#This Row],[Quantidade Comprada]]*TB_Entradas[[#This Row],[Custo Unitário]],"Erro ao calcular")</f>
        <v>30</v>
      </c>
    </row>
    <row r="37" spans="2:8" ht="18" x14ac:dyDescent="0.35">
      <c r="B37" s="52">
        <f>MONTH(TB_Entradas[[#This Row],[Data]])</f>
        <v>7</v>
      </c>
      <c r="C37" s="47">
        <v>44757</v>
      </c>
      <c r="D37" s="44" t="s">
        <v>10</v>
      </c>
      <c r="E37" s="37" t="s">
        <v>56</v>
      </c>
      <c r="F37" s="45">
        <v>20</v>
      </c>
      <c r="G37" s="46" cm="1">
        <f t="array" ref="G37">_xlfn.XLOOKUP(TB_Entradas[[#This Row],[Produto]],TB_Produtos[[#All],[Produto]],TB_Produtos[[#All],[Custo Unitário]],"Produto não Encontrado",0,1)</f>
        <v>0.5</v>
      </c>
      <c r="H37" s="46">
        <f>IFERROR(TB_Entradas[[#This Row],[Quantidade Comprada]]*TB_Entradas[[#This Row],[Custo Unitário]],"Erro ao calcular")</f>
        <v>10</v>
      </c>
    </row>
    <row r="38" spans="2:8" ht="18" x14ac:dyDescent="0.35">
      <c r="B38" s="52">
        <f>MONTH(TB_Entradas[[#This Row],[Data]])</f>
        <v>8</v>
      </c>
      <c r="C38" s="47">
        <v>44778</v>
      </c>
      <c r="D38" s="44" t="s">
        <v>19</v>
      </c>
      <c r="E38" s="37" t="s">
        <v>43</v>
      </c>
      <c r="F38" s="45">
        <v>35</v>
      </c>
      <c r="G38" s="46" cm="1">
        <f t="array" ref="G38">_xlfn.XLOOKUP(TB_Entradas[[#This Row],[Produto]],TB_Produtos[[#All],[Produto]],TB_Produtos[[#All],[Custo Unitário]],"Produto não Encontrado",0,1)</f>
        <v>0.25</v>
      </c>
      <c r="H38" s="46">
        <f>IFERROR(TB_Entradas[[#This Row],[Quantidade Comprada]]*TB_Entradas[[#This Row],[Custo Unitário]],"Erro ao calcular")</f>
        <v>8.75</v>
      </c>
    </row>
    <row r="39" spans="2:8" ht="18" x14ac:dyDescent="0.35">
      <c r="B39" s="52">
        <f>MONTH(TB_Entradas[[#This Row],[Data]])</f>
        <v>8</v>
      </c>
      <c r="C39" s="47">
        <v>44783</v>
      </c>
      <c r="D39" s="44" t="s">
        <v>23</v>
      </c>
      <c r="E39" s="37" t="s">
        <v>43</v>
      </c>
      <c r="F39" s="45">
        <v>100</v>
      </c>
      <c r="G39" s="46" cm="1">
        <f t="array" ref="G39">_xlfn.XLOOKUP(TB_Entradas[[#This Row],[Produto]],TB_Produtos[[#All],[Produto]],TB_Produtos[[#All],[Custo Unitário]],"Produto não Encontrado",0,1)</f>
        <v>1</v>
      </c>
      <c r="H39" s="46">
        <f>IFERROR(TB_Entradas[[#This Row],[Quantidade Comprada]]*TB_Entradas[[#This Row],[Custo Unitário]],"Erro ao calcular")</f>
        <v>100</v>
      </c>
    </row>
    <row r="40" spans="2:8" ht="18" x14ac:dyDescent="0.35">
      <c r="B40" s="52">
        <f>MONTH(TB_Entradas[[#This Row],[Data]])</f>
        <v>8</v>
      </c>
      <c r="C40" s="47">
        <v>44791</v>
      </c>
      <c r="D40" s="44" t="s">
        <v>25</v>
      </c>
      <c r="E40" s="37" t="s">
        <v>56</v>
      </c>
      <c r="F40" s="45">
        <v>30</v>
      </c>
      <c r="G40" s="46" cm="1">
        <f t="array" ref="G40">_xlfn.XLOOKUP(TB_Entradas[[#This Row],[Produto]],TB_Produtos[[#All],[Produto]],TB_Produtos[[#All],[Custo Unitário]],"Produto não Encontrado",0,1)</f>
        <v>0.25</v>
      </c>
      <c r="H40" s="46">
        <f>IFERROR(TB_Entradas[[#This Row],[Quantidade Comprada]]*TB_Entradas[[#This Row],[Custo Unitário]],"Erro ao calcular")</f>
        <v>7.5</v>
      </c>
    </row>
    <row r="41" spans="2:8" ht="18" x14ac:dyDescent="0.35">
      <c r="B41" s="52">
        <f>MONTH(TB_Entradas[[#This Row],[Data]])</f>
        <v>8</v>
      </c>
      <c r="C41" s="47">
        <v>44791</v>
      </c>
      <c r="D41" s="44" t="s">
        <v>10</v>
      </c>
      <c r="E41" s="37" t="s">
        <v>56</v>
      </c>
      <c r="F41" s="45">
        <v>30</v>
      </c>
      <c r="G41" s="46" cm="1">
        <f t="array" ref="G41">_xlfn.XLOOKUP(TB_Entradas[[#This Row],[Produto]],TB_Produtos[[#All],[Produto]],TB_Produtos[[#All],[Custo Unitário]],"Produto não Encontrado",0,1)</f>
        <v>0.5</v>
      </c>
      <c r="H41" s="46">
        <f>IFERROR(TB_Entradas[[#This Row],[Quantidade Comprada]]*TB_Entradas[[#This Row],[Custo Unitário]],"Erro ao calcular")</f>
        <v>15</v>
      </c>
    </row>
    <row r="42" spans="2:8" ht="18" x14ac:dyDescent="0.35">
      <c r="B42" s="52">
        <f>MONTH(TB_Entradas[[#This Row],[Data]])</f>
        <v>8</v>
      </c>
      <c r="C42" s="47">
        <v>44804</v>
      </c>
      <c r="D42" s="44" t="s">
        <v>6</v>
      </c>
      <c r="E42" s="37" t="s">
        <v>43</v>
      </c>
      <c r="F42" s="45">
        <v>150</v>
      </c>
      <c r="G42" s="46" cm="1">
        <f t="array" ref="G42">_xlfn.XLOOKUP(TB_Entradas[[#This Row],[Produto]],TB_Produtos[[#All],[Produto]],TB_Produtos[[#All],[Custo Unitário]],"Produto não Encontrado",0,1)</f>
        <v>2</v>
      </c>
      <c r="H42" s="46">
        <f>IFERROR(TB_Entradas[[#This Row],[Quantidade Comprada]]*TB_Entradas[[#This Row],[Custo Unitário]],"Erro ao calcular")</f>
        <v>300</v>
      </c>
    </row>
    <row r="43" spans="2:8" ht="18" x14ac:dyDescent="0.35">
      <c r="B43" s="52">
        <f>MONTH(TB_Entradas[[#This Row],[Data]])</f>
        <v>9</v>
      </c>
      <c r="C43" s="47">
        <v>44806</v>
      </c>
      <c r="D43" s="44" t="s">
        <v>36</v>
      </c>
      <c r="E43" s="37" t="s">
        <v>51</v>
      </c>
      <c r="F43" s="45">
        <v>100</v>
      </c>
      <c r="G43" s="46" cm="1">
        <f t="array" ref="G43">_xlfn.XLOOKUP(TB_Entradas[[#This Row],[Produto]],TB_Produtos[[#All],[Produto]],TB_Produtos[[#All],[Custo Unitário]],"Produto não Encontrado",0,1)</f>
        <v>2</v>
      </c>
      <c r="H43" s="46">
        <f>IFERROR(TB_Entradas[[#This Row],[Quantidade Comprada]]*TB_Entradas[[#This Row],[Custo Unitário]],"Erro ao calcular")</f>
        <v>200</v>
      </c>
    </row>
    <row r="44" spans="2:8" ht="18" x14ac:dyDescent="0.35">
      <c r="B44" s="52">
        <f>MONTH(TB_Entradas[[#This Row],[Data]])</f>
        <v>9</v>
      </c>
      <c r="C44" s="47">
        <v>44811</v>
      </c>
      <c r="D44" s="44" t="s">
        <v>19</v>
      </c>
      <c r="E44" s="37" t="s">
        <v>43</v>
      </c>
      <c r="F44" s="45">
        <v>34</v>
      </c>
      <c r="G44" s="46" cm="1">
        <f t="array" ref="G44">_xlfn.XLOOKUP(TB_Entradas[[#This Row],[Produto]],TB_Produtos[[#All],[Produto]],TB_Produtos[[#All],[Custo Unitário]],"Produto não Encontrado",0,1)</f>
        <v>0.25</v>
      </c>
      <c r="H44" s="46">
        <f>IFERROR(TB_Entradas[[#This Row],[Quantidade Comprada]]*TB_Entradas[[#This Row],[Custo Unitário]],"Erro ao calcular")</f>
        <v>8.5</v>
      </c>
    </row>
    <row r="45" spans="2:8" ht="18" x14ac:dyDescent="0.35">
      <c r="B45" s="52">
        <f>MONTH(TB_Entradas[[#This Row],[Data]])</f>
        <v>9</v>
      </c>
      <c r="C45" s="47">
        <v>44821</v>
      </c>
      <c r="D45" s="44" t="s">
        <v>28</v>
      </c>
      <c r="E45" s="37" t="s">
        <v>47</v>
      </c>
      <c r="F45" s="45">
        <v>50</v>
      </c>
      <c r="G45" s="46" cm="1">
        <f t="array" ref="G45">_xlfn.XLOOKUP(TB_Entradas[[#This Row],[Produto]],TB_Produtos[[#All],[Produto]],TB_Produtos[[#All],[Custo Unitário]],"Produto não Encontrado",0,1)</f>
        <v>4.5</v>
      </c>
      <c r="H45" s="46">
        <f>IFERROR(TB_Entradas[[#This Row],[Quantidade Comprada]]*TB_Entradas[[#This Row],[Custo Unitário]],"Erro ao calcular")</f>
        <v>225</v>
      </c>
    </row>
    <row r="46" spans="2:8" ht="18" x14ac:dyDescent="0.35">
      <c r="B46" s="52">
        <f>MONTH(TB_Entradas[[#This Row],[Data]])</f>
        <v>9</v>
      </c>
      <c r="C46" s="47">
        <v>44823</v>
      </c>
      <c r="D46" s="44" t="s">
        <v>25</v>
      </c>
      <c r="E46" s="37" t="s">
        <v>56</v>
      </c>
      <c r="F46" s="45">
        <v>20</v>
      </c>
      <c r="G46" s="46" cm="1">
        <f t="array" ref="G46">_xlfn.XLOOKUP(TB_Entradas[[#This Row],[Produto]],TB_Produtos[[#All],[Produto]],TB_Produtos[[#All],[Custo Unitário]],"Produto não Encontrado",0,1)</f>
        <v>0.25</v>
      </c>
      <c r="H46" s="46">
        <f>IFERROR(TB_Entradas[[#This Row],[Quantidade Comprada]]*TB_Entradas[[#This Row],[Custo Unitário]],"Erro ao calcular")</f>
        <v>5</v>
      </c>
    </row>
    <row r="47" spans="2:8" ht="18" x14ac:dyDescent="0.35">
      <c r="B47" s="52">
        <f>MONTH(TB_Entradas[[#This Row],[Data]])</f>
        <v>9</v>
      </c>
      <c r="C47" s="47">
        <v>44828</v>
      </c>
      <c r="D47" s="44" t="s">
        <v>10</v>
      </c>
      <c r="E47" s="37" t="s">
        <v>56</v>
      </c>
      <c r="F47" s="45">
        <v>15</v>
      </c>
      <c r="G47" s="46" cm="1">
        <f t="array" ref="G47">_xlfn.XLOOKUP(TB_Entradas[[#This Row],[Produto]],TB_Produtos[[#All],[Produto]],TB_Produtos[[#All],[Custo Unitário]],"Produto não Encontrado",0,1)</f>
        <v>0.5</v>
      </c>
      <c r="H47" s="46">
        <f>IFERROR(TB_Entradas[[#This Row],[Quantidade Comprada]]*TB_Entradas[[#This Row],[Custo Unitário]],"Erro ao calcular")</f>
        <v>7.5</v>
      </c>
    </row>
    <row r="48" spans="2:8" ht="18" x14ac:dyDescent="0.35">
      <c r="B48" s="52">
        <f>MONTH(TB_Entradas[[#This Row],[Data]])</f>
        <v>9</v>
      </c>
      <c r="C48" s="47">
        <v>44834</v>
      </c>
      <c r="D48" s="44" t="s">
        <v>6</v>
      </c>
      <c r="E48" s="37" t="s">
        <v>43</v>
      </c>
      <c r="F48" s="45">
        <v>180</v>
      </c>
      <c r="G48" s="46" cm="1">
        <f t="array" ref="G48">_xlfn.XLOOKUP(TB_Entradas[[#This Row],[Produto]],TB_Produtos[[#All],[Produto]],TB_Produtos[[#All],[Custo Unitário]],"Produto não Encontrado",0,1)</f>
        <v>2</v>
      </c>
      <c r="H48" s="46">
        <f>IFERROR(TB_Entradas[[#This Row],[Quantidade Comprada]]*TB_Entradas[[#This Row],[Custo Unitário]],"Erro ao calcular")</f>
        <v>360</v>
      </c>
    </row>
    <row r="49" spans="2:8" ht="18" x14ac:dyDescent="0.35">
      <c r="B49" s="52">
        <f>MONTH(TB_Entradas[[#This Row],[Data]])</f>
        <v>10</v>
      </c>
      <c r="C49" s="47">
        <v>44835</v>
      </c>
      <c r="D49" s="44" t="s">
        <v>19</v>
      </c>
      <c r="E49" s="37" t="s">
        <v>43</v>
      </c>
      <c r="F49" s="45">
        <v>46</v>
      </c>
      <c r="G49" s="46" cm="1">
        <f t="array" ref="G49">_xlfn.XLOOKUP(TB_Entradas[[#This Row],[Produto]],TB_Produtos[[#All],[Produto]],TB_Produtos[[#All],[Custo Unitário]],"Produto não Encontrado",0,1)</f>
        <v>0.25</v>
      </c>
      <c r="H49" s="46">
        <f>IFERROR(TB_Entradas[[#This Row],[Quantidade Comprada]]*TB_Entradas[[#This Row],[Custo Unitário]],"Erro ao calcular")</f>
        <v>11.5</v>
      </c>
    </row>
    <row r="50" spans="2:8" ht="18" x14ac:dyDescent="0.35">
      <c r="B50" s="52">
        <f>MONTH(TB_Entradas[[#This Row],[Data]])</f>
        <v>10</v>
      </c>
      <c r="C50" s="47">
        <v>44841</v>
      </c>
      <c r="D50" s="44" t="s">
        <v>25</v>
      </c>
      <c r="E50" s="37" t="s">
        <v>56</v>
      </c>
      <c r="F50" s="45">
        <v>35</v>
      </c>
      <c r="G50" s="46" cm="1">
        <f t="array" ref="G50">_xlfn.XLOOKUP(TB_Entradas[[#This Row],[Produto]],TB_Produtos[[#All],[Produto]],TB_Produtos[[#All],[Custo Unitário]],"Produto não Encontrado",0,1)</f>
        <v>0.25</v>
      </c>
      <c r="H50" s="46">
        <f>IFERROR(TB_Entradas[[#This Row],[Quantidade Comprada]]*TB_Entradas[[#This Row],[Custo Unitário]],"Erro ao calcular")</f>
        <v>8.75</v>
      </c>
    </row>
    <row r="51" spans="2:8" ht="18" x14ac:dyDescent="0.35">
      <c r="B51" s="52">
        <f>MONTH(TB_Entradas[[#This Row],[Data]])</f>
        <v>10</v>
      </c>
      <c r="C51" s="47">
        <v>44854</v>
      </c>
      <c r="D51" s="44" t="s">
        <v>6</v>
      </c>
      <c r="E51" s="37" t="s">
        <v>43</v>
      </c>
      <c r="F51" s="45">
        <v>100</v>
      </c>
      <c r="G51" s="46" cm="1">
        <f t="array" ref="G51">_xlfn.XLOOKUP(TB_Entradas[[#This Row],[Produto]],TB_Produtos[[#All],[Produto]],TB_Produtos[[#All],[Custo Unitário]],"Produto não Encontrado",0,1)</f>
        <v>2</v>
      </c>
      <c r="H51" s="46">
        <f>IFERROR(TB_Entradas[[#This Row],[Quantidade Comprada]]*TB_Entradas[[#This Row],[Custo Unitário]],"Erro ao calcular")</f>
        <v>200</v>
      </c>
    </row>
    <row r="52" spans="2:8" ht="18" x14ac:dyDescent="0.35">
      <c r="B52" s="52">
        <f>MONTH(TB_Entradas[[#This Row],[Data]])</f>
        <v>10</v>
      </c>
      <c r="C52" s="47">
        <v>44859</v>
      </c>
      <c r="D52" s="44" t="s">
        <v>10</v>
      </c>
      <c r="E52" s="37" t="s">
        <v>56</v>
      </c>
      <c r="F52" s="45">
        <v>55</v>
      </c>
      <c r="G52" s="46" cm="1">
        <f t="array" ref="G52">_xlfn.XLOOKUP(TB_Entradas[[#This Row],[Produto]],TB_Produtos[[#All],[Produto]],TB_Produtos[[#All],[Custo Unitário]],"Produto não Encontrado",0,1)</f>
        <v>0.5</v>
      </c>
      <c r="H52" s="46">
        <f>IFERROR(TB_Entradas[[#This Row],[Quantidade Comprada]]*TB_Entradas[[#This Row],[Custo Unitário]],"Erro ao calcular")</f>
        <v>27.5</v>
      </c>
    </row>
    <row r="53" spans="2:8" ht="18" x14ac:dyDescent="0.35">
      <c r="B53" s="52">
        <f>MONTH(TB_Entradas[[#This Row],[Data]])</f>
        <v>11</v>
      </c>
      <c r="C53" s="47">
        <v>44874</v>
      </c>
      <c r="D53" s="44" t="s">
        <v>29</v>
      </c>
      <c r="E53" s="37" t="s">
        <v>51</v>
      </c>
      <c r="F53" s="45">
        <v>100</v>
      </c>
      <c r="G53" s="46" cm="1">
        <f t="array" ref="G53">_xlfn.XLOOKUP(TB_Entradas[[#This Row],[Produto]],TB_Produtos[[#All],[Produto]],TB_Produtos[[#All],[Custo Unitário]],"Produto não Encontrado",0,1)</f>
        <v>0.25</v>
      </c>
      <c r="H53" s="46">
        <f>IFERROR(TB_Entradas[[#This Row],[Quantidade Comprada]]*TB_Entradas[[#This Row],[Custo Unitário]],"Erro ao calcular")</f>
        <v>25</v>
      </c>
    </row>
    <row r="54" spans="2:8" ht="18" x14ac:dyDescent="0.35">
      <c r="B54" s="52">
        <f>MONTH(TB_Entradas[[#This Row],[Data]])</f>
        <v>11</v>
      </c>
      <c r="C54" s="47">
        <v>44880</v>
      </c>
      <c r="D54" s="44" t="s">
        <v>6</v>
      </c>
      <c r="E54" s="37" t="s">
        <v>43</v>
      </c>
      <c r="F54" s="45">
        <v>80</v>
      </c>
      <c r="G54" s="46" cm="1">
        <f t="array" ref="G54">_xlfn.XLOOKUP(TB_Entradas[[#This Row],[Produto]],TB_Produtos[[#All],[Produto]],TB_Produtos[[#All],[Custo Unitário]],"Produto não Encontrado",0,1)</f>
        <v>2</v>
      </c>
      <c r="H54" s="46">
        <f>IFERROR(TB_Entradas[[#This Row],[Quantidade Comprada]]*TB_Entradas[[#This Row],[Custo Unitário]],"Erro ao calcular")</f>
        <v>160</v>
      </c>
    </row>
    <row r="55" spans="2:8" ht="18" x14ac:dyDescent="0.35">
      <c r="B55" s="52">
        <f>MONTH(TB_Entradas[[#This Row],[Data]])</f>
        <v>11</v>
      </c>
      <c r="C55" s="47">
        <v>44883</v>
      </c>
      <c r="D55" s="44" t="s">
        <v>19</v>
      </c>
      <c r="E55" s="37" t="s">
        <v>43</v>
      </c>
      <c r="F55" s="45">
        <v>45</v>
      </c>
      <c r="G55" s="46" cm="1">
        <f t="array" ref="G55">_xlfn.XLOOKUP(TB_Entradas[[#This Row],[Produto]],TB_Produtos[[#All],[Produto]],TB_Produtos[[#All],[Custo Unitário]],"Produto não Encontrado",0,1)</f>
        <v>0.25</v>
      </c>
      <c r="H55" s="46">
        <f>IFERROR(TB_Entradas[[#This Row],[Quantidade Comprada]]*TB_Entradas[[#This Row],[Custo Unitário]],"Erro ao calcular")</f>
        <v>11.25</v>
      </c>
    </row>
    <row r="56" spans="2:8" ht="18" x14ac:dyDescent="0.35">
      <c r="B56" s="52">
        <f>MONTH(TB_Entradas[[#This Row],[Data]])</f>
        <v>11</v>
      </c>
      <c r="C56" s="47">
        <v>44888</v>
      </c>
      <c r="D56" s="44" t="s">
        <v>25</v>
      </c>
      <c r="E56" s="37" t="s">
        <v>56</v>
      </c>
      <c r="F56" s="45">
        <v>20</v>
      </c>
      <c r="G56" s="46" cm="1">
        <f t="array" ref="G56">_xlfn.XLOOKUP(TB_Entradas[[#This Row],[Produto]],TB_Produtos[[#All],[Produto]],TB_Produtos[[#All],[Custo Unitário]],"Produto não Encontrado",0,1)</f>
        <v>0.25</v>
      </c>
      <c r="H56" s="46">
        <f>IFERROR(TB_Entradas[[#This Row],[Quantidade Comprada]]*TB_Entradas[[#This Row],[Custo Unitário]],"Erro ao calcular")</f>
        <v>5</v>
      </c>
    </row>
    <row r="57" spans="2:8" ht="18" x14ac:dyDescent="0.35">
      <c r="B57" s="52">
        <f>MONTH(TB_Entradas[[#This Row],[Data]])</f>
        <v>11</v>
      </c>
      <c r="C57" s="47">
        <v>44895</v>
      </c>
      <c r="D57" s="44" t="s">
        <v>10</v>
      </c>
      <c r="E57" s="37" t="s">
        <v>56</v>
      </c>
      <c r="F57" s="45">
        <v>35</v>
      </c>
      <c r="G57" s="46" cm="1">
        <f t="array" ref="G57">_xlfn.XLOOKUP(TB_Entradas[[#This Row],[Produto]],TB_Produtos[[#All],[Produto]],TB_Produtos[[#All],[Custo Unitário]],"Produto não Encontrado",0,1)</f>
        <v>0.5</v>
      </c>
      <c r="H57" s="46">
        <f>IFERROR(TB_Entradas[[#This Row],[Quantidade Comprada]]*TB_Entradas[[#This Row],[Custo Unitário]],"Erro ao calcular")</f>
        <v>17.5</v>
      </c>
    </row>
    <row r="58" spans="2:8" ht="18" x14ac:dyDescent="0.35">
      <c r="B58" s="52">
        <f>MONTH(TB_Entradas[[#This Row],[Data]])</f>
        <v>12</v>
      </c>
      <c r="C58" s="47">
        <v>44907</v>
      </c>
      <c r="D58" s="44" t="s">
        <v>6</v>
      </c>
      <c r="E58" s="37" t="s">
        <v>43</v>
      </c>
      <c r="F58" s="48">
        <v>200</v>
      </c>
      <c r="G58" s="46" cm="1">
        <f t="array" ref="G58">_xlfn.XLOOKUP(TB_Entradas[[#This Row],[Produto]],TB_Produtos[[#All],[Produto]],TB_Produtos[[#All],[Custo Unitário]],"Produto não Encontrado",0,1)</f>
        <v>2</v>
      </c>
      <c r="H58" s="46">
        <f>IFERROR(TB_Entradas[[#This Row],[Quantidade Comprada]]*TB_Entradas[[#This Row],[Custo Unitário]],"Erro ao calcular")</f>
        <v>400</v>
      </c>
    </row>
    <row r="59" spans="2:8" ht="18" x14ac:dyDescent="0.35">
      <c r="B59" s="52">
        <f>MONTH(TB_Entradas[[#This Row],[Data]])</f>
        <v>12</v>
      </c>
      <c r="C59" s="47">
        <v>44910</v>
      </c>
      <c r="D59" s="44" t="s">
        <v>19</v>
      </c>
      <c r="E59" s="37" t="s">
        <v>43</v>
      </c>
      <c r="F59" s="48">
        <v>40</v>
      </c>
      <c r="G59" s="46" cm="1">
        <f t="array" ref="G59">_xlfn.XLOOKUP(TB_Entradas[[#This Row],[Produto]],TB_Produtos[[#All],[Produto]],TB_Produtos[[#All],[Custo Unitário]],"Produto não Encontrado",0,1)</f>
        <v>0.25</v>
      </c>
      <c r="H59" s="46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3"/>
  <sheetViews>
    <sheetView showGridLines="0" zoomScale="140" zoomScaleNormal="140" workbookViewId="0">
      <selection activeCell="D6" sqref="D6"/>
    </sheetView>
  </sheetViews>
  <sheetFormatPr defaultColWidth="9.140625" defaultRowHeight="15" x14ac:dyDescent="0.25"/>
  <cols>
    <col min="1" max="1" width="5.28515625" customWidth="1"/>
    <col min="2" max="2" width="10.85546875" style="2" customWidth="1"/>
    <col min="3" max="3" width="15.28515625" customWidth="1"/>
    <col min="4" max="4" width="20.85546875" customWidth="1"/>
    <col min="5" max="5" width="23.28515625" customWidth="1"/>
    <col min="6" max="6" width="17.28515625" customWidth="1"/>
    <col min="7" max="7" width="17.5703125" customWidth="1"/>
  </cols>
  <sheetData>
    <row r="1" spans="2:7" s="29" customFormat="1" ht="60" customHeight="1" x14ac:dyDescent="0.25">
      <c r="E1" s="39" t="s">
        <v>65</v>
      </c>
      <c r="F1" s="30"/>
    </row>
    <row r="2" spans="2:7" s="34" customFormat="1" ht="6" customHeight="1" x14ac:dyDescent="0.25">
      <c r="F2" s="35"/>
    </row>
    <row r="5" spans="2:7" x14ac:dyDescent="0.25">
      <c r="B5" s="41" t="s">
        <v>108</v>
      </c>
      <c r="C5" s="41" t="s">
        <v>61</v>
      </c>
      <c r="D5" s="41" t="s">
        <v>1</v>
      </c>
      <c r="E5" s="41" t="s">
        <v>66</v>
      </c>
      <c r="F5" s="42" t="s">
        <v>5</v>
      </c>
      <c r="G5" s="42" t="s">
        <v>67</v>
      </c>
    </row>
    <row r="6" spans="2:7" ht="18" x14ac:dyDescent="0.35">
      <c r="B6" s="52">
        <f>MONTH(TB_Saídas[[#This Row],[Data]])</f>
        <v>1</v>
      </c>
      <c r="C6" s="43">
        <v>44566</v>
      </c>
      <c r="D6" s="44" t="s">
        <v>10</v>
      </c>
      <c r="E6" s="37">
        <v>30</v>
      </c>
      <c r="F6" s="53" cm="1">
        <f t="array" ref="F6">_xlfn.XLOOKUP(TB_Saídas[[#This Row],[Produto]],TB_Produtos[[#All],[Produto]],TB_Produtos[[#All],[Preço Unitário]],"Produto não Encontrado",0,1)</f>
        <v>6.5</v>
      </c>
      <c r="G6" s="46">
        <f>IFERROR(TB_Saídas[[#This Row],[Quantidade Vendida]]*TB_Saídas[[#This Row],[Preço Unitário]],"Não foi possível calcular")</f>
        <v>195</v>
      </c>
    </row>
    <row r="7" spans="2:7" ht="18" x14ac:dyDescent="0.35">
      <c r="B7" s="52">
        <f>MONTH(TB_Saídas[[#This Row],[Data]])</f>
        <v>1</v>
      </c>
      <c r="C7" s="43">
        <v>44567</v>
      </c>
      <c r="D7" s="44" t="s">
        <v>6</v>
      </c>
      <c r="E7" s="37">
        <v>80</v>
      </c>
      <c r="F7" s="53" cm="1">
        <f t="array" ref="F7">_xlfn.XLOOKUP(TB_Saídas[[#This Row],[Produto]],TB_Produtos[[#All],[Produto]],TB_Produtos[[#All],[Preço Unitário]],"Produto não Encontrado",0,1)</f>
        <v>6</v>
      </c>
      <c r="G7" s="46">
        <f>IFERROR(TB_Saídas[[#This Row],[Quantidade Vendida]]*TB_Saídas[[#This Row],[Preço Unitário]],"Não foi possível calcular")</f>
        <v>480</v>
      </c>
    </row>
    <row r="8" spans="2:7" ht="18" x14ac:dyDescent="0.35">
      <c r="B8" s="52">
        <f>MONTH(TB_Saídas[[#This Row],[Data]])</f>
        <v>1</v>
      </c>
      <c r="C8" s="43">
        <v>44581</v>
      </c>
      <c r="D8" s="44" t="s">
        <v>25</v>
      </c>
      <c r="E8" s="37">
        <v>50</v>
      </c>
      <c r="F8" s="53" cm="1">
        <f t="array" ref="F8">_xlfn.XLOOKUP(TB_Saídas[[#This Row],[Produto]],TB_Produtos[[#All],[Produto]],TB_Produtos[[#All],[Preço Unitário]],"Produto não Encontrado",0,1)</f>
        <v>7.5</v>
      </c>
      <c r="G8" s="46">
        <f>IFERROR(TB_Saídas[[#This Row],[Quantidade Vendida]]*TB_Saídas[[#This Row],[Preço Unitário]],"Não foi possível calcular")</f>
        <v>375</v>
      </c>
    </row>
    <row r="9" spans="2:7" ht="18" x14ac:dyDescent="0.35">
      <c r="B9" s="52">
        <f>MONTH(TB_Saídas[[#This Row],[Data]])</f>
        <v>1</v>
      </c>
      <c r="C9" s="43">
        <v>44586</v>
      </c>
      <c r="D9" s="44" t="s">
        <v>19</v>
      </c>
      <c r="E9" s="37">
        <v>50</v>
      </c>
      <c r="F9" s="53" cm="1">
        <f t="array" ref="F9">_xlfn.XLOOKUP(TB_Saídas[[#This Row],[Produto]],TB_Produtos[[#All],[Produto]],TB_Produtos[[#All],[Preço Unitário]],"Produto não Encontrado",0,1)</f>
        <v>8.5</v>
      </c>
      <c r="G9" s="46">
        <f>IFERROR(TB_Saídas[[#This Row],[Quantidade Vendida]]*TB_Saídas[[#This Row],[Preço Unitário]],"Não foi possível calcular")</f>
        <v>425</v>
      </c>
    </row>
    <row r="10" spans="2:7" ht="18" x14ac:dyDescent="0.35">
      <c r="B10" s="52">
        <f>MONTH(TB_Saídas[[#This Row],[Data]])</f>
        <v>2</v>
      </c>
      <c r="C10" s="43">
        <v>44597</v>
      </c>
      <c r="D10" s="44" t="s">
        <v>25</v>
      </c>
      <c r="E10" s="37">
        <v>30</v>
      </c>
      <c r="F10" s="53" cm="1">
        <f t="array" ref="F10">_xlfn.XLOOKUP(TB_Saídas[[#This Row],[Produto]],TB_Produtos[[#All],[Produto]],TB_Produtos[[#All],[Preço Unitário]],"Produto não Encontrado",0,1)</f>
        <v>7.5</v>
      </c>
      <c r="G10" s="46">
        <f>IFERROR(TB_Saídas[[#This Row],[Quantidade Vendida]]*TB_Saídas[[#This Row],[Preço Unitário]],"Não foi possível calcular")</f>
        <v>225</v>
      </c>
    </row>
    <row r="11" spans="2:7" ht="18" x14ac:dyDescent="0.35">
      <c r="B11" s="52">
        <f>MONTH(TB_Saídas[[#This Row],[Data]])</f>
        <v>2</v>
      </c>
      <c r="C11" s="43">
        <v>44598</v>
      </c>
      <c r="D11" s="44" t="s">
        <v>6</v>
      </c>
      <c r="E11" s="37">
        <v>110</v>
      </c>
      <c r="F11" s="53" cm="1">
        <f t="array" ref="F11">_xlfn.XLOOKUP(TB_Saídas[[#This Row],[Produto]],TB_Produtos[[#All],[Produto]],TB_Produtos[[#All],[Preço Unitário]],"Produto não Encontrado",0,1)</f>
        <v>6</v>
      </c>
      <c r="G11" s="46">
        <f>IFERROR(TB_Saídas[[#This Row],[Quantidade Vendida]]*TB_Saídas[[#This Row],[Preço Unitário]],"Não foi possível calcular")</f>
        <v>660</v>
      </c>
    </row>
    <row r="12" spans="2:7" ht="18" x14ac:dyDescent="0.35">
      <c r="B12" s="52">
        <f>MONTH(TB_Saídas[[#This Row],[Data]])</f>
        <v>2</v>
      </c>
      <c r="C12" s="43">
        <v>44602</v>
      </c>
      <c r="D12" s="44" t="s">
        <v>19</v>
      </c>
      <c r="E12" s="37">
        <v>75</v>
      </c>
      <c r="F12" s="53" cm="1">
        <f t="array" ref="F12">_xlfn.XLOOKUP(TB_Saídas[[#This Row],[Produto]],TB_Produtos[[#All],[Produto]],TB_Produtos[[#All],[Preço Unitário]],"Produto não Encontrado",0,1)</f>
        <v>8.5</v>
      </c>
      <c r="G12" s="46">
        <f>IFERROR(TB_Saídas[[#This Row],[Quantidade Vendida]]*TB_Saídas[[#This Row],[Preço Unitário]],"Não foi possível calcular")</f>
        <v>637.5</v>
      </c>
    </row>
    <row r="13" spans="2:7" ht="18" x14ac:dyDescent="0.35">
      <c r="B13" s="52">
        <f>MONTH(TB_Saídas[[#This Row],[Data]])</f>
        <v>2</v>
      </c>
      <c r="C13" s="43">
        <v>44620</v>
      </c>
      <c r="D13" s="44" t="s">
        <v>10</v>
      </c>
      <c r="E13" s="37">
        <v>20</v>
      </c>
      <c r="F13" s="53" cm="1">
        <f t="array" ref="F13">_xlfn.XLOOKUP(TB_Saídas[[#This Row],[Produto]],TB_Produtos[[#All],[Produto]],TB_Produtos[[#All],[Preço Unitário]],"Produto não Encontrado",0,1)</f>
        <v>6.5</v>
      </c>
      <c r="G13" s="46">
        <f>IFERROR(TB_Saídas[[#This Row],[Quantidade Vendida]]*TB_Saídas[[#This Row],[Preço Unitário]],"Não foi possível calcular")</f>
        <v>130</v>
      </c>
    </row>
    <row r="14" spans="2:7" ht="18" x14ac:dyDescent="0.35">
      <c r="B14" s="52">
        <f>MONTH(TB_Saídas[[#This Row],[Data]])</f>
        <v>3</v>
      </c>
      <c r="C14" s="43">
        <v>44626</v>
      </c>
      <c r="D14" s="44" t="s">
        <v>36</v>
      </c>
      <c r="E14" s="37">
        <v>110</v>
      </c>
      <c r="F14" s="53" cm="1">
        <f t="array" ref="F14">_xlfn.XLOOKUP(TB_Saídas[[#This Row],[Produto]],TB_Produtos[[#All],[Produto]],TB_Produtos[[#All],[Preço Unitário]],"Produto não Encontrado",0,1)</f>
        <v>8</v>
      </c>
      <c r="G14" s="46">
        <f>IFERROR(TB_Saídas[[#This Row],[Quantidade Vendida]]*TB_Saídas[[#This Row],[Preço Unitário]],"Não foi possível calcular")</f>
        <v>880</v>
      </c>
    </row>
    <row r="15" spans="2:7" ht="18" x14ac:dyDescent="0.35">
      <c r="B15" s="52">
        <f>MONTH(TB_Saídas[[#This Row],[Data]])</f>
        <v>3</v>
      </c>
      <c r="C15" s="43">
        <v>44631</v>
      </c>
      <c r="D15" s="44" t="s">
        <v>25</v>
      </c>
      <c r="E15" s="37">
        <v>40</v>
      </c>
      <c r="F15" s="53" cm="1">
        <f t="array" ref="F15">_xlfn.XLOOKUP(TB_Saídas[[#This Row],[Produto]],TB_Produtos[[#All],[Produto]],TB_Produtos[[#All],[Preço Unitário]],"Produto não Encontrado",0,1)</f>
        <v>7.5</v>
      </c>
      <c r="G15" s="46">
        <f>IFERROR(TB_Saídas[[#This Row],[Quantidade Vendida]]*TB_Saídas[[#This Row],[Preço Unitário]],"Não foi possível calcular")</f>
        <v>300</v>
      </c>
    </row>
    <row r="16" spans="2:7" ht="18" x14ac:dyDescent="0.35">
      <c r="B16" s="52">
        <f>MONTH(TB_Saídas[[#This Row],[Data]])</f>
        <v>3</v>
      </c>
      <c r="C16" s="43">
        <v>44646</v>
      </c>
      <c r="D16" s="44" t="s">
        <v>19</v>
      </c>
      <c r="E16" s="37">
        <v>50</v>
      </c>
      <c r="F16" s="53" cm="1">
        <f t="array" ref="F16">_xlfn.XLOOKUP(TB_Saídas[[#This Row],[Produto]],TB_Produtos[[#All],[Produto]],TB_Produtos[[#All],[Preço Unitário]],"Produto não Encontrado",0,1)</f>
        <v>8.5</v>
      </c>
      <c r="G16" s="46">
        <f>IFERROR(TB_Saídas[[#This Row],[Quantidade Vendida]]*TB_Saídas[[#This Row],[Preço Unitário]],"Não foi possível calcular")</f>
        <v>425</v>
      </c>
    </row>
    <row r="17" spans="2:7" ht="18" x14ac:dyDescent="0.35">
      <c r="B17" s="52">
        <f>MONTH(TB_Saídas[[#This Row],[Data]])</f>
        <v>3</v>
      </c>
      <c r="C17" s="43">
        <v>44649</v>
      </c>
      <c r="D17" s="44" t="s">
        <v>10</v>
      </c>
      <c r="E17" s="37">
        <v>15</v>
      </c>
      <c r="F17" s="53" cm="1">
        <f t="array" ref="F17">_xlfn.XLOOKUP(TB_Saídas[[#This Row],[Produto]],TB_Produtos[[#All],[Produto]],TB_Produtos[[#All],[Preço Unitário]],"Produto não Encontrado",0,1)</f>
        <v>6.5</v>
      </c>
      <c r="G17" s="46">
        <f>IFERROR(TB_Saídas[[#This Row],[Quantidade Vendida]]*TB_Saídas[[#This Row],[Preço Unitário]],"Não foi possível calcular")</f>
        <v>97.5</v>
      </c>
    </row>
    <row r="18" spans="2:7" ht="18" x14ac:dyDescent="0.35">
      <c r="B18" s="52">
        <f>MONTH(TB_Saídas[[#This Row],[Data]])</f>
        <v>3</v>
      </c>
      <c r="C18" s="43">
        <v>44630</v>
      </c>
      <c r="D18" s="44" t="s">
        <v>6</v>
      </c>
      <c r="E18" s="37">
        <v>100</v>
      </c>
      <c r="F18" s="53" cm="1">
        <f t="array" ref="F18">_xlfn.XLOOKUP(TB_Saídas[[#This Row],[Produto]],TB_Produtos[[#All],[Produto]],TB_Produtos[[#All],[Preço Unitário]],"Produto não Encontrado",0,1)</f>
        <v>6</v>
      </c>
      <c r="G18" s="46">
        <f>IFERROR(TB_Saídas[[#This Row],[Quantidade Vendida]]*TB_Saídas[[#This Row],[Preço Unitário]],"Não foi possível calcular")</f>
        <v>600</v>
      </c>
    </row>
    <row r="19" spans="2:7" ht="18" x14ac:dyDescent="0.35">
      <c r="B19" s="52">
        <f>MONTH(TB_Saídas[[#This Row],[Data]])</f>
        <v>4</v>
      </c>
      <c r="C19" s="43">
        <v>44659</v>
      </c>
      <c r="D19" s="44" t="s">
        <v>10</v>
      </c>
      <c r="E19" s="37">
        <v>40</v>
      </c>
      <c r="F19" s="53" cm="1">
        <f t="array" ref="F19">_xlfn.XLOOKUP(TB_Saídas[[#This Row],[Produto]],TB_Produtos[[#All],[Produto]],TB_Produtos[[#All],[Preço Unitário]],"Produto não Encontrado",0,1)</f>
        <v>6.5</v>
      </c>
      <c r="G19" s="46">
        <f>IFERROR(TB_Saídas[[#This Row],[Quantidade Vendida]]*TB_Saídas[[#This Row],[Preço Unitário]],"Não foi possível calcular")</f>
        <v>260</v>
      </c>
    </row>
    <row r="20" spans="2:7" ht="18" x14ac:dyDescent="0.35">
      <c r="B20" s="52">
        <f>MONTH(TB_Saídas[[#This Row],[Data]])</f>
        <v>4</v>
      </c>
      <c r="C20" s="43">
        <v>44663</v>
      </c>
      <c r="D20" s="44" t="s">
        <v>6</v>
      </c>
      <c r="E20" s="37">
        <v>75</v>
      </c>
      <c r="F20" s="53" cm="1">
        <f t="array" ref="F20">_xlfn.XLOOKUP(TB_Saídas[[#This Row],[Produto]],TB_Produtos[[#All],[Produto]],TB_Produtos[[#All],[Preço Unitário]],"Produto não Encontrado",0,1)</f>
        <v>6</v>
      </c>
      <c r="G20" s="46">
        <f>IFERROR(TB_Saídas[[#This Row],[Quantidade Vendida]]*TB_Saídas[[#This Row],[Preço Unitário]],"Não foi possível calcular")</f>
        <v>450</v>
      </c>
    </row>
    <row r="21" spans="2:7" ht="18" x14ac:dyDescent="0.35">
      <c r="B21" s="52">
        <f>MONTH(TB_Saídas[[#This Row],[Data]])</f>
        <v>4</v>
      </c>
      <c r="C21" s="43">
        <v>44667</v>
      </c>
      <c r="D21" s="44" t="s">
        <v>31</v>
      </c>
      <c r="E21" s="37">
        <v>25</v>
      </c>
      <c r="F21" s="53" cm="1">
        <f t="array" ref="F21">_xlfn.XLOOKUP(TB_Saídas[[#This Row],[Produto]],TB_Produtos[[#All],[Produto]],TB_Produtos[[#All],[Preço Unitário]],"Produto não Encontrado",0,1)</f>
        <v>8</v>
      </c>
      <c r="G21" s="46">
        <f>IFERROR(TB_Saídas[[#This Row],[Quantidade Vendida]]*TB_Saídas[[#This Row],[Preço Unitário]],"Não foi possível calcular")</f>
        <v>200</v>
      </c>
    </row>
    <row r="22" spans="2:7" ht="18" x14ac:dyDescent="0.35">
      <c r="B22" s="52">
        <f>MONTH(TB_Saídas[[#This Row],[Data]])</f>
        <v>4</v>
      </c>
      <c r="C22" s="43">
        <v>44671</v>
      </c>
      <c r="D22" s="44" t="s">
        <v>25</v>
      </c>
      <c r="E22" s="37">
        <v>40</v>
      </c>
      <c r="F22" s="53" cm="1">
        <f t="array" ref="F22">_xlfn.XLOOKUP(TB_Saídas[[#This Row],[Produto]],TB_Produtos[[#All],[Produto]],TB_Produtos[[#All],[Preço Unitário]],"Produto não Encontrado",0,1)</f>
        <v>7.5</v>
      </c>
      <c r="G22" s="46">
        <f>IFERROR(TB_Saídas[[#This Row],[Quantidade Vendida]]*TB_Saídas[[#This Row],[Preço Unitário]],"Não foi possível calcular")</f>
        <v>300</v>
      </c>
    </row>
    <row r="23" spans="2:7" ht="18" x14ac:dyDescent="0.35">
      <c r="B23" s="52">
        <f>MONTH(TB_Saídas[[#This Row],[Data]])</f>
        <v>4</v>
      </c>
      <c r="C23" s="43">
        <v>44681</v>
      </c>
      <c r="D23" s="44" t="s">
        <v>19</v>
      </c>
      <c r="E23" s="37">
        <v>35</v>
      </c>
      <c r="F23" s="53" cm="1">
        <f t="array" ref="F23">_xlfn.XLOOKUP(TB_Saídas[[#This Row],[Produto]],TB_Produtos[[#All],[Produto]],TB_Produtos[[#All],[Preço Unitário]],"Produto não Encontrado",0,1)</f>
        <v>8.5</v>
      </c>
      <c r="G23" s="46">
        <f>IFERROR(TB_Saídas[[#This Row],[Quantidade Vendida]]*TB_Saídas[[#This Row],[Preço Unitário]],"Não foi possível calcular")</f>
        <v>297.5</v>
      </c>
    </row>
    <row r="24" spans="2:7" ht="18" x14ac:dyDescent="0.35">
      <c r="B24" s="52">
        <f>MONTH(TB_Saídas[[#This Row],[Data]])</f>
        <v>5</v>
      </c>
      <c r="C24" s="43">
        <v>44691</v>
      </c>
      <c r="D24" s="44" t="s">
        <v>25</v>
      </c>
      <c r="E24" s="37">
        <v>35</v>
      </c>
      <c r="F24" s="53" cm="1">
        <f t="array" ref="F24">_xlfn.XLOOKUP(TB_Saídas[[#This Row],[Produto]],TB_Produtos[[#All],[Produto]],TB_Produtos[[#All],[Preço Unitário]],"Produto não Encontrado",0,1)</f>
        <v>7.5</v>
      </c>
      <c r="G24" s="46">
        <f>IFERROR(TB_Saídas[[#This Row],[Quantidade Vendida]]*TB_Saídas[[#This Row],[Preço Unitário]],"Não foi possível calcular")</f>
        <v>262.5</v>
      </c>
    </row>
    <row r="25" spans="2:7" ht="18" x14ac:dyDescent="0.35">
      <c r="B25" s="52">
        <f>MONTH(TB_Saídas[[#This Row],[Data]])</f>
        <v>5</v>
      </c>
      <c r="C25" s="43">
        <v>44692</v>
      </c>
      <c r="D25" s="44" t="s">
        <v>27</v>
      </c>
      <c r="E25" s="37">
        <v>20</v>
      </c>
      <c r="F25" s="53" cm="1">
        <f t="array" ref="F25">_xlfn.XLOOKUP(TB_Saídas[[#This Row],[Produto]],TB_Produtos[[#All],[Produto]],TB_Produtos[[#All],[Preço Unitário]],"Produto não Encontrado",0,1)</f>
        <v>15</v>
      </c>
      <c r="G25" s="46">
        <f>IFERROR(TB_Saídas[[#This Row],[Quantidade Vendida]]*TB_Saídas[[#This Row],[Preço Unitário]],"Não foi possível calcular")</f>
        <v>300</v>
      </c>
    </row>
    <row r="26" spans="2:7" ht="18" x14ac:dyDescent="0.35">
      <c r="B26" s="52">
        <f>MONTH(TB_Saídas[[#This Row],[Data]])</f>
        <v>5</v>
      </c>
      <c r="C26" s="43">
        <v>44692</v>
      </c>
      <c r="D26" s="44" t="s">
        <v>6</v>
      </c>
      <c r="E26" s="37">
        <v>75</v>
      </c>
      <c r="F26" s="53" cm="1">
        <f t="array" ref="F26">_xlfn.XLOOKUP(TB_Saídas[[#This Row],[Produto]],TB_Produtos[[#All],[Produto]],TB_Produtos[[#All],[Preço Unitário]],"Produto não Encontrado",0,1)</f>
        <v>6</v>
      </c>
      <c r="G26" s="46">
        <f>IFERROR(TB_Saídas[[#This Row],[Quantidade Vendida]]*TB_Saídas[[#This Row],[Preço Unitário]],"Não foi possível calcular")</f>
        <v>450</v>
      </c>
    </row>
    <row r="27" spans="2:7" ht="18" x14ac:dyDescent="0.35">
      <c r="B27" s="52">
        <f>MONTH(TB_Saídas[[#This Row],[Data]])</f>
        <v>5</v>
      </c>
      <c r="C27" s="43">
        <v>44700</v>
      </c>
      <c r="D27" s="44" t="s">
        <v>19</v>
      </c>
      <c r="E27" s="37">
        <v>27</v>
      </c>
      <c r="F27" s="53" cm="1">
        <f t="array" ref="F27">_xlfn.XLOOKUP(TB_Saídas[[#This Row],[Produto]],TB_Produtos[[#All],[Produto]],TB_Produtos[[#All],[Preço Unitário]],"Produto não Encontrado",0,1)</f>
        <v>8.5</v>
      </c>
      <c r="G27" s="46">
        <f>IFERROR(TB_Saídas[[#This Row],[Quantidade Vendida]]*TB_Saídas[[#This Row],[Preço Unitário]],"Não foi possível calcular")</f>
        <v>229.5</v>
      </c>
    </row>
    <row r="28" spans="2:7" ht="18" x14ac:dyDescent="0.35">
      <c r="B28" s="52">
        <f>MONTH(TB_Saídas[[#This Row],[Data]])</f>
        <v>5</v>
      </c>
      <c r="C28" s="43">
        <v>44700</v>
      </c>
      <c r="D28" s="44" t="s">
        <v>10</v>
      </c>
      <c r="E28" s="37">
        <v>20</v>
      </c>
      <c r="F28" s="53" cm="1">
        <f t="array" ref="F28">_xlfn.XLOOKUP(TB_Saídas[[#This Row],[Produto]],TB_Produtos[[#All],[Produto]],TB_Produtos[[#All],[Preço Unitário]],"Produto não Encontrado",0,1)</f>
        <v>6.5</v>
      </c>
      <c r="G28" s="46">
        <f>IFERROR(TB_Saídas[[#This Row],[Quantidade Vendida]]*TB_Saídas[[#This Row],[Preço Unitário]],"Não foi possível calcular")</f>
        <v>130</v>
      </c>
    </row>
    <row r="29" spans="2:7" ht="18" x14ac:dyDescent="0.35">
      <c r="B29" s="52">
        <f>MONTH(TB_Saídas[[#This Row],[Data]])</f>
        <v>6</v>
      </c>
      <c r="C29" s="43">
        <v>44737</v>
      </c>
      <c r="D29" s="44" t="s">
        <v>19</v>
      </c>
      <c r="E29" s="37">
        <v>35</v>
      </c>
      <c r="F29" s="53" cm="1">
        <f t="array" ref="F29">_xlfn.XLOOKUP(TB_Saídas[[#This Row],[Produto]],TB_Produtos[[#All],[Produto]],TB_Produtos[[#All],[Preço Unitário]],"Produto não Encontrado",0,1)</f>
        <v>8.5</v>
      </c>
      <c r="G29" s="46">
        <f>IFERROR(TB_Saídas[[#This Row],[Quantidade Vendida]]*TB_Saídas[[#This Row],[Preço Unitário]],"Não foi possível calcular")</f>
        <v>297.5</v>
      </c>
    </row>
    <row r="30" spans="2:7" ht="18" x14ac:dyDescent="0.35">
      <c r="B30" s="52">
        <f>MONTH(TB_Saídas[[#This Row],[Data]])</f>
        <v>6</v>
      </c>
      <c r="C30" s="43">
        <v>44738</v>
      </c>
      <c r="D30" s="44" t="s">
        <v>6</v>
      </c>
      <c r="E30" s="37">
        <v>100</v>
      </c>
      <c r="F30" s="53" cm="1">
        <f t="array" ref="F30">_xlfn.XLOOKUP(TB_Saídas[[#This Row],[Produto]],TB_Produtos[[#All],[Produto]],TB_Produtos[[#All],[Preço Unitário]],"Produto não Encontrado",0,1)</f>
        <v>6</v>
      </c>
      <c r="G30" s="46">
        <f>IFERROR(TB_Saídas[[#This Row],[Quantidade Vendida]]*TB_Saídas[[#This Row],[Preço Unitário]],"Não foi possível calcular")</f>
        <v>600</v>
      </c>
    </row>
    <row r="31" spans="2:7" ht="18" x14ac:dyDescent="0.35">
      <c r="B31" s="52">
        <f>MONTH(TB_Saídas[[#This Row],[Data]])</f>
        <v>6</v>
      </c>
      <c r="C31" s="43">
        <v>44738</v>
      </c>
      <c r="D31" s="44" t="s">
        <v>25</v>
      </c>
      <c r="E31" s="37">
        <v>20</v>
      </c>
      <c r="F31" s="53" cm="1">
        <f t="array" ref="F31">_xlfn.XLOOKUP(TB_Saídas[[#This Row],[Produto]],TB_Produtos[[#All],[Produto]],TB_Produtos[[#All],[Preço Unitário]],"Produto não Encontrado",0,1)</f>
        <v>7.5</v>
      </c>
      <c r="G31" s="46">
        <f>IFERROR(TB_Saídas[[#This Row],[Quantidade Vendida]]*TB_Saídas[[#This Row],[Preço Unitário]],"Não foi possível calcular")</f>
        <v>150</v>
      </c>
    </row>
    <row r="32" spans="2:7" ht="18" x14ac:dyDescent="0.35">
      <c r="B32" s="52">
        <f>MONTH(TB_Saídas[[#This Row],[Data]])</f>
        <v>6</v>
      </c>
      <c r="C32" s="43">
        <v>44739</v>
      </c>
      <c r="D32" s="44" t="s">
        <v>10</v>
      </c>
      <c r="E32" s="37">
        <v>15</v>
      </c>
      <c r="F32" s="53" cm="1">
        <f t="array" ref="F32">_xlfn.XLOOKUP(TB_Saídas[[#This Row],[Produto]],TB_Produtos[[#All],[Produto]],TB_Produtos[[#All],[Preço Unitário]],"Produto não Encontrado",0,1)</f>
        <v>6.5</v>
      </c>
      <c r="G32" s="46">
        <f>IFERROR(TB_Saídas[[#This Row],[Quantidade Vendida]]*TB_Saídas[[#This Row],[Preço Unitário]],"Não foi possível calcular")</f>
        <v>97.5</v>
      </c>
    </row>
    <row r="33" spans="2:7" ht="18" x14ac:dyDescent="0.35">
      <c r="B33" s="52">
        <f>MONTH(TB_Saídas[[#This Row],[Data]])</f>
        <v>7</v>
      </c>
      <c r="C33" s="43">
        <v>44749</v>
      </c>
      <c r="D33" s="44" t="s">
        <v>26</v>
      </c>
      <c r="E33" s="37">
        <v>40</v>
      </c>
      <c r="F33" s="53" cm="1">
        <f t="array" ref="F33">_xlfn.XLOOKUP(TB_Saídas[[#This Row],[Produto]],TB_Produtos[[#All],[Produto]],TB_Produtos[[#All],[Preço Unitário]],"Produto não Encontrado",0,1)</f>
        <v>10</v>
      </c>
      <c r="G33" s="46">
        <f>IFERROR(TB_Saídas[[#This Row],[Quantidade Vendida]]*TB_Saídas[[#This Row],[Preço Unitário]],"Não foi possível calcular")</f>
        <v>400</v>
      </c>
    </row>
    <row r="34" spans="2:7" ht="18" x14ac:dyDescent="0.35">
      <c r="B34" s="52">
        <f>MONTH(TB_Saídas[[#This Row],[Data]])</f>
        <v>7</v>
      </c>
      <c r="C34" s="43">
        <v>44749</v>
      </c>
      <c r="D34" s="44" t="s">
        <v>6</v>
      </c>
      <c r="E34" s="37">
        <v>90</v>
      </c>
      <c r="F34" s="53" cm="1">
        <f t="array" ref="F34">_xlfn.XLOOKUP(TB_Saídas[[#This Row],[Produto]],TB_Produtos[[#All],[Produto]],TB_Produtos[[#All],[Preço Unitário]],"Produto não Encontrado",0,1)</f>
        <v>6</v>
      </c>
      <c r="G34" s="46">
        <f>IFERROR(TB_Saídas[[#This Row],[Quantidade Vendida]]*TB_Saídas[[#This Row],[Preço Unitário]],"Não foi possível calcular")</f>
        <v>540</v>
      </c>
    </row>
    <row r="35" spans="2:7" ht="18" x14ac:dyDescent="0.35">
      <c r="B35" s="52">
        <f>MONTH(TB_Saídas[[#This Row],[Data]])</f>
        <v>7</v>
      </c>
      <c r="C35" s="43">
        <v>44758</v>
      </c>
      <c r="D35" s="44" t="s">
        <v>10</v>
      </c>
      <c r="E35" s="37">
        <v>35</v>
      </c>
      <c r="F35" s="53" cm="1">
        <f t="array" ref="F35">_xlfn.XLOOKUP(TB_Saídas[[#This Row],[Produto]],TB_Produtos[[#All],[Produto]],TB_Produtos[[#All],[Preço Unitário]],"Produto não Encontrado",0,1)</f>
        <v>6.5</v>
      </c>
      <c r="G35" s="46">
        <f>IFERROR(TB_Saídas[[#This Row],[Quantidade Vendida]]*TB_Saídas[[#This Row],[Preço Unitário]],"Não foi possível calcular")</f>
        <v>227.5</v>
      </c>
    </row>
    <row r="36" spans="2:7" ht="18" x14ac:dyDescent="0.35">
      <c r="B36" s="52">
        <f>MONTH(TB_Saídas[[#This Row],[Data]])</f>
        <v>7</v>
      </c>
      <c r="C36" s="43">
        <v>44765</v>
      </c>
      <c r="D36" s="44" t="s">
        <v>19</v>
      </c>
      <c r="E36" s="37">
        <v>75</v>
      </c>
      <c r="F36" s="53" cm="1">
        <f t="array" ref="F36">_xlfn.XLOOKUP(TB_Saídas[[#This Row],[Produto]],TB_Produtos[[#All],[Produto]],TB_Produtos[[#All],[Preço Unitário]],"Produto não Encontrado",0,1)</f>
        <v>8.5</v>
      </c>
      <c r="G36" s="46">
        <f>IFERROR(TB_Saídas[[#This Row],[Quantidade Vendida]]*TB_Saídas[[#This Row],[Preço Unitário]],"Não foi possível calcular")</f>
        <v>637.5</v>
      </c>
    </row>
    <row r="37" spans="2:7" ht="18" x14ac:dyDescent="0.35">
      <c r="B37" s="52">
        <f>MONTH(TB_Saídas[[#This Row],[Data]])</f>
        <v>7</v>
      </c>
      <c r="C37" s="43">
        <v>44772</v>
      </c>
      <c r="D37" s="44" t="s">
        <v>25</v>
      </c>
      <c r="E37" s="37">
        <v>55</v>
      </c>
      <c r="F37" s="53" cm="1">
        <f t="array" ref="F37">_xlfn.XLOOKUP(TB_Saídas[[#This Row],[Produto]],TB_Produtos[[#All],[Produto]],TB_Produtos[[#All],[Preço Unitário]],"Produto não Encontrado",0,1)</f>
        <v>7.5</v>
      </c>
      <c r="G37" s="46">
        <f>IFERROR(TB_Saídas[[#This Row],[Quantidade Vendida]]*TB_Saídas[[#This Row],[Preço Unitário]],"Não foi possível calcular")</f>
        <v>412.5</v>
      </c>
    </row>
    <row r="38" spans="2:7" ht="18" x14ac:dyDescent="0.35">
      <c r="B38" s="52">
        <f>MONTH(TB_Saídas[[#This Row],[Data]])</f>
        <v>8</v>
      </c>
      <c r="C38" s="43">
        <v>44792</v>
      </c>
      <c r="D38" s="44" t="s">
        <v>10</v>
      </c>
      <c r="E38" s="37">
        <v>12</v>
      </c>
      <c r="F38" s="53" cm="1">
        <f t="array" ref="F38">_xlfn.XLOOKUP(TB_Saídas[[#This Row],[Produto]],TB_Produtos[[#All],[Produto]],TB_Produtos[[#All],[Preço Unitário]],"Produto não Encontrado",0,1)</f>
        <v>6.5</v>
      </c>
      <c r="G38" s="46">
        <f>IFERROR(TB_Saídas[[#This Row],[Quantidade Vendida]]*TB_Saídas[[#This Row],[Preço Unitário]],"Não foi possível calcular")</f>
        <v>78</v>
      </c>
    </row>
    <row r="39" spans="2:7" ht="18" x14ac:dyDescent="0.35">
      <c r="B39" s="52">
        <f>MONTH(TB_Saídas[[#This Row],[Data]])</f>
        <v>8</v>
      </c>
      <c r="C39" s="43">
        <v>44794</v>
      </c>
      <c r="D39" s="44" t="s">
        <v>19</v>
      </c>
      <c r="E39" s="37">
        <v>36</v>
      </c>
      <c r="F39" s="53" cm="1">
        <f t="array" ref="F39">_xlfn.XLOOKUP(TB_Saídas[[#This Row],[Produto]],TB_Produtos[[#All],[Produto]],TB_Produtos[[#All],[Preço Unitário]],"Produto não Encontrado",0,1)</f>
        <v>8.5</v>
      </c>
      <c r="G39" s="46">
        <f>IFERROR(TB_Saídas[[#This Row],[Quantidade Vendida]]*TB_Saídas[[#This Row],[Preço Unitário]],"Não foi possível calcular")</f>
        <v>306</v>
      </c>
    </row>
    <row r="40" spans="2:7" ht="18" x14ac:dyDescent="0.35">
      <c r="B40" s="52">
        <f>MONTH(TB_Saídas[[#This Row],[Data]])</f>
        <v>8</v>
      </c>
      <c r="C40" s="43">
        <v>44803</v>
      </c>
      <c r="D40" s="44" t="s">
        <v>23</v>
      </c>
      <c r="E40" s="37">
        <v>90</v>
      </c>
      <c r="F40" s="53" cm="1">
        <f t="array" ref="F40">_xlfn.XLOOKUP(TB_Saídas[[#This Row],[Produto]],TB_Produtos[[#All],[Produto]],TB_Produtos[[#All],[Preço Unitário]],"Produto não Encontrado",0,1)</f>
        <v>5</v>
      </c>
      <c r="G40" s="46">
        <f>IFERROR(TB_Saídas[[#This Row],[Quantidade Vendida]]*TB_Saídas[[#This Row],[Preço Unitário]],"Não foi possível calcular")</f>
        <v>450</v>
      </c>
    </row>
    <row r="41" spans="2:7" ht="18" x14ac:dyDescent="0.35">
      <c r="B41" s="52">
        <f>MONTH(TB_Saídas[[#This Row],[Data]])</f>
        <v>8</v>
      </c>
      <c r="C41" s="43">
        <v>44803</v>
      </c>
      <c r="D41" s="44" t="s">
        <v>25</v>
      </c>
      <c r="E41" s="37">
        <v>25</v>
      </c>
      <c r="F41" s="53" cm="1">
        <f t="array" ref="F41">_xlfn.XLOOKUP(TB_Saídas[[#This Row],[Produto]],TB_Produtos[[#All],[Produto]],TB_Produtos[[#All],[Preço Unitário]],"Produto não Encontrado",0,1)</f>
        <v>7.5</v>
      </c>
      <c r="G41" s="46">
        <f>IFERROR(TB_Saídas[[#This Row],[Quantidade Vendida]]*TB_Saídas[[#This Row],[Preço Unitário]],"Não foi possível calcular")</f>
        <v>187.5</v>
      </c>
    </row>
    <row r="42" spans="2:7" ht="18" x14ac:dyDescent="0.35">
      <c r="B42" s="52">
        <f>MONTH(TB_Saídas[[#This Row],[Data]])</f>
        <v>8</v>
      </c>
      <c r="C42" s="43">
        <v>44803</v>
      </c>
      <c r="D42" s="44" t="s">
        <v>6</v>
      </c>
      <c r="E42" s="37">
        <v>100</v>
      </c>
      <c r="F42" s="53" cm="1">
        <f t="array" ref="F42">_xlfn.XLOOKUP(TB_Saídas[[#This Row],[Produto]],TB_Produtos[[#All],[Produto]],TB_Produtos[[#All],[Preço Unitário]],"Produto não Encontrado",0,1)</f>
        <v>6</v>
      </c>
      <c r="G42" s="46">
        <f>IFERROR(TB_Saídas[[#This Row],[Quantidade Vendida]]*TB_Saídas[[#This Row],[Preço Unitário]],"Não foi possível calcular")</f>
        <v>600</v>
      </c>
    </row>
    <row r="43" spans="2:7" ht="18" x14ac:dyDescent="0.35">
      <c r="B43" s="52">
        <f>MONTH(TB_Saídas[[#This Row],[Data]])</f>
        <v>9</v>
      </c>
      <c r="C43" s="43">
        <v>44811</v>
      </c>
      <c r="D43" s="44" t="s">
        <v>36</v>
      </c>
      <c r="E43" s="37">
        <v>100</v>
      </c>
      <c r="F43" s="53" cm="1">
        <f t="array" ref="F43">_xlfn.XLOOKUP(TB_Saídas[[#This Row],[Produto]],TB_Produtos[[#All],[Produto]],TB_Produtos[[#All],[Preço Unitário]],"Produto não Encontrado",0,1)</f>
        <v>8</v>
      </c>
      <c r="G43" s="46">
        <f>IFERROR(TB_Saídas[[#This Row],[Quantidade Vendida]]*TB_Saídas[[#This Row],[Preço Unitário]],"Não foi possível calcular")</f>
        <v>800</v>
      </c>
    </row>
    <row r="44" spans="2:7" ht="18" x14ac:dyDescent="0.35">
      <c r="B44" s="52">
        <f>MONTH(TB_Saídas[[#This Row],[Data]])</f>
        <v>9</v>
      </c>
      <c r="C44" s="43">
        <v>44811</v>
      </c>
      <c r="D44" s="44" t="s">
        <v>6</v>
      </c>
      <c r="E44" s="37">
        <v>35</v>
      </c>
      <c r="F44" s="53" cm="1">
        <f t="array" ref="F44">_xlfn.XLOOKUP(TB_Saídas[[#This Row],[Produto]],TB_Produtos[[#All],[Produto]],TB_Produtos[[#All],[Preço Unitário]],"Produto não Encontrado",0,1)</f>
        <v>6</v>
      </c>
      <c r="G44" s="46">
        <f>IFERROR(TB_Saídas[[#This Row],[Quantidade Vendida]]*TB_Saídas[[#This Row],[Preço Unitário]],"Não foi possível calcular")</f>
        <v>210</v>
      </c>
    </row>
    <row r="45" spans="2:7" ht="18" x14ac:dyDescent="0.35">
      <c r="B45" s="52">
        <f>MONTH(TB_Saídas[[#This Row],[Data]])</f>
        <v>9</v>
      </c>
      <c r="C45" s="43">
        <v>44821</v>
      </c>
      <c r="D45" s="44" t="s">
        <v>19</v>
      </c>
      <c r="E45" s="37">
        <v>42</v>
      </c>
      <c r="F45" s="53" cm="1">
        <f t="array" ref="F45">_xlfn.XLOOKUP(TB_Saídas[[#This Row],[Produto]],TB_Produtos[[#All],[Produto]],TB_Produtos[[#All],[Preço Unitário]],"Produto não Encontrado",0,1)</f>
        <v>8.5</v>
      </c>
      <c r="G45" s="46">
        <f>IFERROR(TB_Saídas[[#This Row],[Quantidade Vendida]]*TB_Saídas[[#This Row],[Preço Unitário]],"Não foi possível calcular")</f>
        <v>357</v>
      </c>
    </row>
    <row r="46" spans="2:7" ht="18" x14ac:dyDescent="0.35">
      <c r="B46" s="52">
        <f>MONTH(TB_Saídas[[#This Row],[Data]])</f>
        <v>9</v>
      </c>
      <c r="C46" s="43">
        <v>44823</v>
      </c>
      <c r="D46" s="44" t="s">
        <v>28</v>
      </c>
      <c r="E46" s="37">
        <v>30</v>
      </c>
      <c r="F46" s="53" cm="1">
        <f t="array" ref="F46">_xlfn.XLOOKUP(TB_Saídas[[#This Row],[Produto]],TB_Produtos[[#All],[Produto]],TB_Produtos[[#All],[Preço Unitário]],"Produto não Encontrado",0,1)</f>
        <v>15</v>
      </c>
      <c r="G46" s="46">
        <f>IFERROR(TB_Saídas[[#This Row],[Quantidade Vendida]]*TB_Saídas[[#This Row],[Preço Unitário]],"Não foi possível calcular")</f>
        <v>450</v>
      </c>
    </row>
    <row r="47" spans="2:7" ht="18" x14ac:dyDescent="0.35">
      <c r="B47" s="52">
        <f>MONTH(TB_Saídas[[#This Row],[Data]])</f>
        <v>9</v>
      </c>
      <c r="C47" s="43">
        <v>44829</v>
      </c>
      <c r="D47" s="44" t="s">
        <v>25</v>
      </c>
      <c r="E47" s="37">
        <v>40</v>
      </c>
      <c r="F47" s="53" cm="1">
        <f t="array" ref="F47">_xlfn.XLOOKUP(TB_Saídas[[#This Row],[Produto]],TB_Produtos[[#All],[Produto]],TB_Produtos[[#All],[Preço Unitário]],"Produto não Encontrado",0,1)</f>
        <v>7.5</v>
      </c>
      <c r="G47" s="46">
        <f>IFERROR(TB_Saídas[[#This Row],[Quantidade Vendida]]*TB_Saídas[[#This Row],[Preço Unitário]],"Não foi possível calcular")</f>
        <v>300</v>
      </c>
    </row>
    <row r="48" spans="2:7" ht="18" x14ac:dyDescent="0.35">
      <c r="B48" s="52">
        <f>MONTH(TB_Saídas[[#This Row],[Data]])</f>
        <v>9</v>
      </c>
      <c r="C48" s="43">
        <v>44834</v>
      </c>
      <c r="D48" s="44" t="s">
        <v>10</v>
      </c>
      <c r="E48" s="37">
        <v>18</v>
      </c>
      <c r="F48" s="53" cm="1">
        <f t="array" ref="F48">_xlfn.XLOOKUP(TB_Saídas[[#This Row],[Produto]],TB_Produtos[[#All],[Produto]],TB_Produtos[[#All],[Preço Unitário]],"Produto não Encontrado",0,1)</f>
        <v>6.5</v>
      </c>
      <c r="G48" s="46">
        <f>IFERROR(TB_Saídas[[#This Row],[Quantidade Vendida]]*TB_Saídas[[#This Row],[Preço Unitário]],"Não foi possível calcular")</f>
        <v>117</v>
      </c>
    </row>
    <row r="49" spans="2:7" ht="18" x14ac:dyDescent="0.35">
      <c r="B49" s="52">
        <f>MONTH(TB_Saídas[[#This Row],[Data]])</f>
        <v>10</v>
      </c>
      <c r="C49" s="43">
        <v>44838</v>
      </c>
      <c r="D49" s="44" t="s">
        <v>19</v>
      </c>
      <c r="E49" s="37">
        <v>28</v>
      </c>
      <c r="F49" s="53" cm="1">
        <f t="array" ref="F49">_xlfn.XLOOKUP(TB_Saídas[[#This Row],[Produto]],TB_Produtos[[#All],[Produto]],TB_Produtos[[#All],[Preço Unitário]],"Produto não Encontrado",0,1)</f>
        <v>8.5</v>
      </c>
      <c r="G49" s="46">
        <f>IFERROR(TB_Saídas[[#This Row],[Quantidade Vendida]]*TB_Saídas[[#This Row],[Preço Unitário]],"Não foi possível calcular")</f>
        <v>238</v>
      </c>
    </row>
    <row r="50" spans="2:7" ht="18" x14ac:dyDescent="0.35">
      <c r="B50" s="52">
        <f>MONTH(TB_Saídas[[#This Row],[Data]])</f>
        <v>10</v>
      </c>
      <c r="C50" s="43">
        <v>44847</v>
      </c>
      <c r="D50" s="44" t="s">
        <v>27</v>
      </c>
      <c r="E50" s="37">
        <v>30</v>
      </c>
      <c r="F50" s="53" cm="1">
        <f t="array" ref="F50">_xlfn.XLOOKUP(TB_Saídas[[#This Row],[Produto]],TB_Produtos[[#All],[Produto]],TB_Produtos[[#All],[Preço Unitário]],"Produto não Encontrado",0,1)</f>
        <v>15</v>
      </c>
      <c r="G50" s="46">
        <f>IFERROR(TB_Saídas[[#This Row],[Quantidade Vendida]]*TB_Saídas[[#This Row],[Preço Unitário]],"Não foi possível calcular")</f>
        <v>450</v>
      </c>
    </row>
    <row r="51" spans="2:7" ht="18" x14ac:dyDescent="0.35">
      <c r="B51" s="52">
        <f>MONTH(TB_Saídas[[#This Row],[Data]])</f>
        <v>10</v>
      </c>
      <c r="C51" s="43">
        <v>44851</v>
      </c>
      <c r="D51" s="44" t="s">
        <v>25</v>
      </c>
      <c r="E51" s="37">
        <v>30</v>
      </c>
      <c r="F51" s="53" cm="1">
        <f t="array" ref="F51">_xlfn.XLOOKUP(TB_Saídas[[#This Row],[Produto]],TB_Produtos[[#All],[Produto]],TB_Produtos[[#All],[Preço Unitário]],"Produto não Encontrado",0,1)</f>
        <v>7.5</v>
      </c>
      <c r="G51" s="46">
        <f>IFERROR(TB_Saídas[[#This Row],[Quantidade Vendida]]*TB_Saídas[[#This Row],[Preço Unitário]],"Não foi possível calcular")</f>
        <v>225</v>
      </c>
    </row>
    <row r="52" spans="2:7" ht="18" x14ac:dyDescent="0.35">
      <c r="B52" s="52">
        <f>MONTH(TB_Saídas[[#This Row],[Data]])</f>
        <v>10</v>
      </c>
      <c r="C52" s="43">
        <v>44862</v>
      </c>
      <c r="D52" s="44" t="s">
        <v>10</v>
      </c>
      <c r="E52" s="37">
        <v>10</v>
      </c>
      <c r="F52" s="53" cm="1">
        <f t="array" ref="F52">_xlfn.XLOOKUP(TB_Saídas[[#This Row],[Produto]],TB_Produtos[[#All],[Produto]],TB_Produtos[[#All],[Preço Unitário]],"Produto não Encontrado",0,1)</f>
        <v>6.5</v>
      </c>
      <c r="G52" s="46">
        <f>IFERROR(TB_Saídas[[#This Row],[Quantidade Vendida]]*TB_Saídas[[#This Row],[Preço Unitário]],"Não foi possível calcular")</f>
        <v>65</v>
      </c>
    </row>
    <row r="53" spans="2:7" ht="18" x14ac:dyDescent="0.35">
      <c r="B53" s="52">
        <f>MONTH(TB_Saídas[[#This Row],[Data]])</f>
        <v>10</v>
      </c>
      <c r="C53" s="43">
        <v>44865</v>
      </c>
      <c r="D53" s="44" t="s">
        <v>26</v>
      </c>
      <c r="E53" s="37">
        <v>35</v>
      </c>
      <c r="F53" s="53" cm="1">
        <f t="array" ref="F53">_xlfn.XLOOKUP(TB_Saídas[[#This Row],[Produto]],TB_Produtos[[#All],[Produto]],TB_Produtos[[#All],[Preço Unitário]],"Produto não Encontrado",0,1)</f>
        <v>10</v>
      </c>
      <c r="G53" s="46">
        <f>IFERROR(TB_Saídas[[#This Row],[Quantidade Vendida]]*TB_Saídas[[#This Row],[Preço Unitário]],"Não foi possível calcular")</f>
        <v>350</v>
      </c>
    </row>
    <row r="54" spans="2:7" ht="18" x14ac:dyDescent="0.35">
      <c r="B54" s="52">
        <f>MONTH(TB_Saídas[[#This Row],[Data]])</f>
        <v>10</v>
      </c>
      <c r="C54" s="43">
        <v>44865</v>
      </c>
      <c r="D54" s="44" t="s">
        <v>6</v>
      </c>
      <c r="E54" s="37">
        <v>30</v>
      </c>
      <c r="F54" s="53" cm="1">
        <f t="array" ref="F54">_xlfn.XLOOKUP(TB_Saídas[[#This Row],[Produto]],TB_Produtos[[#All],[Produto]],TB_Produtos[[#All],[Preço Unitário]],"Produto não Encontrado",0,1)</f>
        <v>6</v>
      </c>
      <c r="G54" s="46">
        <f>IFERROR(TB_Saídas[[#This Row],[Quantidade Vendida]]*TB_Saídas[[#This Row],[Preço Unitário]],"Não foi possível calcular")</f>
        <v>180</v>
      </c>
    </row>
    <row r="55" spans="2:7" ht="18" x14ac:dyDescent="0.35">
      <c r="B55" s="52">
        <f>MONTH(TB_Saídas[[#This Row],[Data]])</f>
        <v>11</v>
      </c>
      <c r="C55" s="43">
        <v>44869</v>
      </c>
      <c r="D55" s="44" t="s">
        <v>10</v>
      </c>
      <c r="E55" s="37">
        <v>30</v>
      </c>
      <c r="F55" s="53" cm="1">
        <f t="array" ref="F55">_xlfn.XLOOKUP(TB_Saídas[[#This Row],[Produto]],TB_Produtos[[#All],[Produto]],TB_Produtos[[#All],[Preço Unitário]],"Produto não Encontrado",0,1)</f>
        <v>6.5</v>
      </c>
      <c r="G55" s="46">
        <f>IFERROR(TB_Saídas[[#This Row],[Quantidade Vendida]]*TB_Saídas[[#This Row],[Preço Unitário]],"Não foi possível calcular")</f>
        <v>195</v>
      </c>
    </row>
    <row r="56" spans="2:7" ht="18" x14ac:dyDescent="0.35">
      <c r="B56" s="52">
        <f>MONTH(TB_Saídas[[#This Row],[Data]])</f>
        <v>11</v>
      </c>
      <c r="C56" s="43">
        <v>44870</v>
      </c>
      <c r="D56" s="44" t="s">
        <v>25</v>
      </c>
      <c r="E56" s="37">
        <v>15</v>
      </c>
      <c r="F56" s="53" cm="1">
        <f t="array" ref="F56">_xlfn.XLOOKUP(TB_Saídas[[#This Row],[Produto]],TB_Produtos[[#All],[Produto]],TB_Produtos[[#All],[Preço Unitário]],"Produto não Encontrado",0,1)</f>
        <v>7.5</v>
      </c>
      <c r="G56" s="46">
        <f>IFERROR(TB_Saídas[[#This Row],[Quantidade Vendida]]*TB_Saídas[[#This Row],[Preço Unitário]],"Não foi possível calcular")</f>
        <v>112.5</v>
      </c>
    </row>
    <row r="57" spans="2:7" ht="18" x14ac:dyDescent="0.35">
      <c r="B57" s="52">
        <f>MONTH(TB_Saídas[[#This Row],[Data]])</f>
        <v>11</v>
      </c>
      <c r="C57" s="43">
        <v>44872</v>
      </c>
      <c r="D57" s="44" t="s">
        <v>6</v>
      </c>
      <c r="E57" s="37">
        <v>50</v>
      </c>
      <c r="F57" s="53" cm="1">
        <f t="array" ref="F57">_xlfn.XLOOKUP(TB_Saídas[[#This Row],[Produto]],TB_Produtos[[#All],[Produto]],TB_Produtos[[#All],[Preço Unitário]],"Produto não Encontrado",0,1)</f>
        <v>6</v>
      </c>
      <c r="G57" s="46">
        <f>IFERROR(TB_Saídas[[#This Row],[Quantidade Vendida]]*TB_Saídas[[#This Row],[Preço Unitário]],"Não foi possível calcular")</f>
        <v>300</v>
      </c>
    </row>
    <row r="58" spans="2:7" ht="18" x14ac:dyDescent="0.35">
      <c r="B58" s="52">
        <f>MONTH(TB_Saídas[[#This Row],[Data]])</f>
        <v>11</v>
      </c>
      <c r="C58" s="43">
        <v>44886</v>
      </c>
      <c r="D58" s="44" t="s">
        <v>19</v>
      </c>
      <c r="E58" s="37">
        <v>24</v>
      </c>
      <c r="F58" s="53" cm="1">
        <f t="array" ref="F58">_xlfn.XLOOKUP(TB_Saídas[[#This Row],[Produto]],TB_Produtos[[#All],[Produto]],TB_Produtos[[#All],[Preço Unitário]],"Produto não Encontrado",0,1)</f>
        <v>8.5</v>
      </c>
      <c r="G58" s="46">
        <f>IFERROR(TB_Saídas[[#This Row],[Quantidade Vendida]]*TB_Saídas[[#This Row],[Preço Unitário]],"Não foi possível calcular")</f>
        <v>204</v>
      </c>
    </row>
    <row r="59" spans="2:7" ht="18" x14ac:dyDescent="0.35">
      <c r="B59" s="52">
        <f>MONTH(TB_Saídas[[#This Row],[Data]])</f>
        <v>12</v>
      </c>
      <c r="C59" s="43">
        <v>44897</v>
      </c>
      <c r="D59" s="44" t="s">
        <v>25</v>
      </c>
      <c r="E59" s="37">
        <v>20</v>
      </c>
      <c r="F59" s="53" cm="1">
        <f t="array" ref="F59">_xlfn.XLOOKUP(TB_Saídas[[#This Row],[Produto]],TB_Produtos[[#All],[Produto]],TB_Produtos[[#All],[Preço Unitário]],"Produto não Encontrado",0,1)</f>
        <v>7.5</v>
      </c>
      <c r="G59" s="46">
        <f>IFERROR(TB_Saídas[[#This Row],[Quantidade Vendida]]*TB_Saídas[[#This Row],[Preço Unitário]],"Não foi possível calcular")</f>
        <v>150</v>
      </c>
    </row>
    <row r="60" spans="2:7" ht="18" x14ac:dyDescent="0.35">
      <c r="B60" s="52">
        <f>MONTH(TB_Saídas[[#This Row],[Data]])</f>
        <v>12</v>
      </c>
      <c r="C60" s="43">
        <v>44905</v>
      </c>
      <c r="D60" s="44" t="s">
        <v>26</v>
      </c>
      <c r="E60" s="37">
        <v>25</v>
      </c>
      <c r="F60" s="53" cm="1">
        <f t="array" ref="F60">_xlfn.XLOOKUP(TB_Saídas[[#This Row],[Produto]],TB_Produtos[[#All],[Produto]],TB_Produtos[[#All],[Preço Unitário]],"Produto não Encontrado",0,1)</f>
        <v>10</v>
      </c>
      <c r="G60" s="46">
        <f>IFERROR(TB_Saídas[[#This Row],[Quantidade Vendida]]*TB_Saídas[[#This Row],[Preço Unitário]],"Não foi possível calcular")</f>
        <v>250</v>
      </c>
    </row>
    <row r="61" spans="2:7" ht="18" x14ac:dyDescent="0.35">
      <c r="B61" s="52">
        <f>MONTH(TB_Saídas[[#This Row],[Data]])</f>
        <v>12</v>
      </c>
      <c r="C61" s="43">
        <v>44915</v>
      </c>
      <c r="D61" s="44" t="s">
        <v>6</v>
      </c>
      <c r="E61" s="37">
        <v>100</v>
      </c>
      <c r="F61" s="53" cm="1">
        <f t="array" ref="F61">_xlfn.XLOOKUP(TB_Saídas[[#This Row],[Produto]],TB_Produtos[[#All],[Produto]],TB_Produtos[[#All],[Preço Unitário]],"Produto não Encontrado",0,1)</f>
        <v>6</v>
      </c>
      <c r="G61" s="46">
        <f>IFERROR(TB_Saídas[[#This Row],[Quantidade Vendida]]*TB_Saídas[[#This Row],[Preço Unitário]],"Não foi possível calcular")</f>
        <v>600</v>
      </c>
    </row>
    <row r="62" spans="2:7" ht="18" x14ac:dyDescent="0.35">
      <c r="B62" s="52">
        <f>MONTH(TB_Saídas[[#This Row],[Data]])</f>
        <v>12</v>
      </c>
      <c r="C62" s="43">
        <v>44917</v>
      </c>
      <c r="D62" s="44" t="s">
        <v>19</v>
      </c>
      <c r="E62" s="37">
        <v>23</v>
      </c>
      <c r="F62" s="53" cm="1">
        <f t="array" ref="F62">_xlfn.XLOOKUP(TB_Saídas[[#This Row],[Produto]],TB_Produtos[[#All],[Produto]],TB_Produtos[[#All],[Preço Unitário]],"Produto não Encontrado",0,1)</f>
        <v>8.5</v>
      </c>
      <c r="G62" s="46">
        <f>IFERROR(TB_Saídas[[#This Row],[Quantidade Vendida]]*TB_Saídas[[#This Row],[Preço Unitário]],"Não foi possível calcular")</f>
        <v>195.5</v>
      </c>
    </row>
    <row r="63" spans="2:7" x14ac:dyDescent="0.25">
      <c r="C63" s="3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="180" zoomScaleNormal="180" workbookViewId="0">
      <selection activeCell="B1" sqref="B1"/>
    </sheetView>
  </sheetViews>
  <sheetFormatPr defaultRowHeight="15" x14ac:dyDescent="0.25"/>
  <cols>
    <col min="1" max="1" width="21.85546875" customWidth="1"/>
    <col min="2" max="2" width="16.5703125" customWidth="1"/>
    <col min="3" max="3" width="16.28515625" customWidth="1"/>
  </cols>
  <sheetData>
    <row r="1" spans="1:3" x14ac:dyDescent="0.25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25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25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25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25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25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25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25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25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25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25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25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25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25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25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25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25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25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25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25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25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25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25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25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25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25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25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25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25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25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25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25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25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25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25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25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25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25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25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25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25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25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25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25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25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25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25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25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25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25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25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25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25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25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25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25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25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25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25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25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25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25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25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25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25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25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25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25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25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25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25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25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25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25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25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25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25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25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25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25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25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25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25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25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25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25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25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25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25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25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25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25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25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25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25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25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25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25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25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25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25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25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25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25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25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25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25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25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25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25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25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25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25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25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25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25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25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25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25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25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25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25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25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25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25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25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25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25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25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25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25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25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25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25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25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25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25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25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25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25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25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25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25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25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25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25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25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25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25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25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25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25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25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25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25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25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25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25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25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25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25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25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25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25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25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25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25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25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25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25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25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25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25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25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25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25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25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25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25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25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25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25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25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25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25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25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25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25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25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25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25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25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25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25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25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25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25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25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25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25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5" x14ac:dyDescent="0.25"/>
  <cols>
    <col min="1" max="1" width="3.85546875" customWidth="1"/>
    <col min="2" max="2" width="18.5703125" customWidth="1"/>
    <col min="3" max="6" width="13.42578125" customWidth="1"/>
    <col min="7" max="7" width="1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8.5703125" customWidth="1"/>
    <col min="17" max="17" width="2.28515625" customWidth="1"/>
  </cols>
  <sheetData>
    <row r="1" spans="2:17" s="29" customFormat="1" ht="60" customHeight="1" x14ac:dyDescent="0.25">
      <c r="F1" s="39" t="s">
        <v>72</v>
      </c>
    </row>
    <row r="2" spans="2:17" s="34" customFormat="1" ht="6" customHeight="1" x14ac:dyDescent="0.25">
      <c r="F2" s="35"/>
    </row>
    <row r="5" spans="2:17" s="11" customFormat="1" ht="30" x14ac:dyDescent="0.25">
      <c r="B5" s="41" t="s">
        <v>1</v>
      </c>
      <c r="C5" s="41" t="s">
        <v>73</v>
      </c>
      <c r="D5" s="41" t="s">
        <v>74</v>
      </c>
      <c r="E5" s="41" t="s">
        <v>75</v>
      </c>
      <c r="F5" s="41" t="s">
        <v>3</v>
      </c>
      <c r="G5" s="41" t="s">
        <v>76</v>
      </c>
      <c r="H5" s="41" t="s">
        <v>67</v>
      </c>
      <c r="I5" s="41" t="s">
        <v>77</v>
      </c>
      <c r="J5" s="41" t="s">
        <v>78</v>
      </c>
    </row>
    <row r="6" spans="2:17" x14ac:dyDescent="0.25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60"/>
      <c r="N6" s="60"/>
      <c r="O6" s="60"/>
      <c r="P6" s="60"/>
      <c r="Q6" s="60"/>
    </row>
    <row r="7" spans="2:17" ht="18.75" x14ac:dyDescent="0.35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2"/>
      <c r="M7" s="60"/>
      <c r="N7" s="122" t="s">
        <v>79</v>
      </c>
      <c r="O7" s="122"/>
      <c r="P7" s="122"/>
      <c r="Q7" s="60"/>
    </row>
    <row r="8" spans="2:17" ht="18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2"/>
      <c r="M8" s="60"/>
      <c r="N8" s="84" t="s">
        <v>78</v>
      </c>
      <c r="O8" s="83"/>
      <c r="P8" s="84" t="s">
        <v>1</v>
      </c>
      <c r="Q8" s="60"/>
    </row>
    <row r="9" spans="2:17" x14ac:dyDescent="0.25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2"/>
      <c r="M9" s="60"/>
      <c r="N9" s="123">
        <f>LARGE(TB_ControleEstoque[Lucro],1)</f>
        <v>4062.5</v>
      </c>
      <c r="O9" s="60"/>
      <c r="P9" s="125" t="str">
        <f>DGET(TB_ControleEstoque[#All],1,N8:N9)</f>
        <v>Chocolate Quente</v>
      </c>
      <c r="Q9" s="60"/>
    </row>
    <row r="10" spans="2:17" x14ac:dyDescent="0.25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2"/>
      <c r="M10" s="60"/>
      <c r="N10" s="124"/>
      <c r="O10" s="60"/>
      <c r="P10" s="126"/>
      <c r="Q10" s="60"/>
    </row>
    <row r="11" spans="2:17" x14ac:dyDescent="0.25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2"/>
      <c r="M11" s="60"/>
      <c r="N11" s="60"/>
      <c r="O11" s="60"/>
      <c r="P11" s="60"/>
      <c r="Q11" s="60"/>
    </row>
    <row r="12" spans="2:17" x14ac:dyDescent="0.25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2"/>
      <c r="M12" s="82"/>
      <c r="N12" s="82"/>
      <c r="O12" s="82"/>
      <c r="P12" s="82"/>
    </row>
    <row r="13" spans="2:17" x14ac:dyDescent="0.25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25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25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25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29" customFormat="1" ht="60" customHeight="1" x14ac:dyDescent="0.25">
      <c r="G1" s="39" t="s">
        <v>68</v>
      </c>
    </row>
    <row r="2" spans="2:10" s="34" customFormat="1" ht="6" customHeight="1" x14ac:dyDescent="0.25">
      <c r="F2" s="35"/>
    </row>
    <row r="3" spans="2:10" x14ac:dyDescent="0.25">
      <c r="C3" s="5"/>
      <c r="F3" s="5"/>
    </row>
    <row r="4" spans="2:10" ht="9.75" customHeight="1" x14ac:dyDescent="0.25">
      <c r="C4" s="59"/>
      <c r="D4" s="60"/>
      <c r="E4" s="60"/>
      <c r="F4" s="60"/>
      <c r="G4" s="59"/>
    </row>
    <row r="5" spans="2:10" ht="27.75" customHeight="1" x14ac:dyDescent="0.35">
      <c r="B5" s="70"/>
      <c r="C5" s="59"/>
      <c r="D5" s="61" t="s">
        <v>61</v>
      </c>
      <c r="E5" s="62"/>
      <c r="F5" s="61" t="s">
        <v>1</v>
      </c>
      <c r="G5" s="59"/>
    </row>
    <row r="6" spans="2:10" s="6" customFormat="1" ht="27.75" customHeight="1" thickBot="1" x14ac:dyDescent="0.4">
      <c r="B6" s="70"/>
      <c r="C6" s="59"/>
      <c r="D6" s="54" t="s">
        <v>69</v>
      </c>
      <c r="E6" s="68"/>
      <c r="F6" s="55" t="str">
        <f>"=Café"</f>
        <v>=Café</v>
      </c>
      <c r="G6" s="59"/>
      <c r="I6" s="8"/>
      <c r="J6" s="9"/>
    </row>
    <row r="7" spans="2:10" s="6" customFormat="1" ht="15" customHeight="1" x14ac:dyDescent="0.35">
      <c r="B7" s="70"/>
      <c r="C7" s="59"/>
      <c r="D7" s="64"/>
      <c r="E7" s="65"/>
      <c r="F7" s="64"/>
      <c r="G7" s="59"/>
    </row>
    <row r="8" spans="2:10" ht="27.75" customHeight="1" x14ac:dyDescent="0.25">
      <c r="B8" s="70"/>
      <c r="C8" s="63"/>
      <c r="D8" s="66" t="s">
        <v>66</v>
      </c>
      <c r="E8" s="67"/>
      <c r="F8" s="56">
        <f>DSUM(TB_Saídas[#All],Consulta!D8,Consulta!D5:F6)</f>
        <v>365</v>
      </c>
      <c r="G8" s="63" t="s">
        <v>70</v>
      </c>
    </row>
    <row r="9" spans="2:10" ht="15" customHeight="1" x14ac:dyDescent="0.25">
      <c r="B9" s="70"/>
      <c r="C9" s="63"/>
      <c r="D9" s="67"/>
      <c r="E9" s="67"/>
      <c r="F9" s="69"/>
      <c r="G9" s="63"/>
    </row>
    <row r="10" spans="2:10" ht="27.75" customHeight="1" x14ac:dyDescent="0.25">
      <c r="B10" s="70"/>
      <c r="C10" s="63"/>
      <c r="D10" s="66" t="s">
        <v>71</v>
      </c>
      <c r="E10" s="67"/>
      <c r="F10" s="56">
        <f>DSUM(TB_Entradas[#All],"Quantidade Comprada",Consulta!D5:F6)-F8</f>
        <v>160</v>
      </c>
      <c r="G10" s="63"/>
    </row>
    <row r="11" spans="2:10" ht="15" customHeight="1" x14ac:dyDescent="0.25">
      <c r="B11" s="70"/>
      <c r="C11" s="63"/>
      <c r="D11" s="67"/>
      <c r="E11" s="67"/>
      <c r="F11" s="67"/>
      <c r="G11" s="63"/>
    </row>
    <row r="12" spans="2:10" ht="27.75" customHeight="1" x14ac:dyDescent="0.25">
      <c r="B12" s="70"/>
      <c r="C12" s="63"/>
      <c r="D12" s="66" t="s">
        <v>64</v>
      </c>
      <c r="E12" s="67"/>
      <c r="F12" s="57">
        <f>DSUM(TB_Entradas[#All],Consulta!D12,Consulta!D5:F6)</f>
        <v>1050</v>
      </c>
      <c r="G12" s="63"/>
    </row>
    <row r="13" spans="2:10" ht="15" customHeight="1" x14ac:dyDescent="0.25">
      <c r="B13" s="70"/>
      <c r="C13" s="63"/>
      <c r="D13" s="67"/>
      <c r="E13" s="67"/>
      <c r="F13" s="69"/>
      <c r="G13" s="63"/>
    </row>
    <row r="14" spans="2:10" ht="27.75" customHeight="1" x14ac:dyDescent="0.25">
      <c r="B14" s="70"/>
      <c r="C14" s="63"/>
      <c r="D14" s="66" t="s">
        <v>67</v>
      </c>
      <c r="E14" s="67"/>
      <c r="F14" s="57">
        <f>DSUM(TB_Saídas[#All],Consulta!D14,Consulta!D5:F6)</f>
        <v>2190</v>
      </c>
      <c r="G14" s="63"/>
    </row>
    <row r="15" spans="2:10" ht="21.75" customHeight="1" x14ac:dyDescent="0.25">
      <c r="B15" s="70"/>
      <c r="C15" s="63"/>
      <c r="D15" s="63"/>
      <c r="E15" s="63"/>
      <c r="F15" s="63"/>
      <c r="G15" s="63"/>
    </row>
    <row r="16" spans="2:10" ht="12" customHeight="1" x14ac:dyDescent="0.25">
      <c r="B16" s="70"/>
      <c r="C16" s="70"/>
      <c r="D16" s="70"/>
      <c r="E16" s="70"/>
      <c r="F16" s="70"/>
      <c r="G16" s="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2578125" defaultRowHeight="10.5" customHeight="1" x14ac:dyDescent="0.25"/>
  <sheetData>
    <row r="1" spans="2:47" s="29" customFormat="1" ht="60" customHeight="1" x14ac:dyDescent="0.25">
      <c r="AD1" s="39" t="s">
        <v>80</v>
      </c>
    </row>
    <row r="2" spans="2:47" s="34" customFormat="1" ht="6" customHeight="1" x14ac:dyDescent="0.25">
      <c r="F2" s="35"/>
    </row>
    <row r="3" spans="2:47" ht="6" customHeight="1" x14ac:dyDescent="0.25"/>
    <row r="4" spans="2:47" ht="4.5" customHeight="1" thickBot="1" x14ac:dyDescent="0.3"/>
    <row r="5" spans="2:47" ht="10.5" customHeight="1" x14ac:dyDescent="0.25">
      <c r="C5" s="127" t="s">
        <v>81</v>
      </c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9"/>
      <c r="AB5" s="127" t="s">
        <v>82</v>
      </c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9"/>
    </row>
    <row r="6" spans="2:47" ht="10.5" customHeight="1" x14ac:dyDescent="0.25">
      <c r="B6" s="82"/>
      <c r="C6" s="130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2"/>
      <c r="AA6" s="82"/>
      <c r="AB6" s="130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2"/>
    </row>
    <row r="7" spans="2:47" ht="10.5" customHeight="1" x14ac:dyDescent="0.25">
      <c r="B7" s="82"/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/>
      <c r="AA7" s="82"/>
      <c r="AB7" s="71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133" t="s">
        <v>1</v>
      </c>
      <c r="AN7" s="133"/>
      <c r="AO7" s="133"/>
      <c r="AP7" s="133"/>
      <c r="AQ7" s="133"/>
      <c r="AR7" s="133"/>
      <c r="AS7" s="133"/>
      <c r="AT7" s="133"/>
      <c r="AU7" s="73"/>
    </row>
    <row r="8" spans="2:47" ht="10.5" customHeight="1" x14ac:dyDescent="0.25">
      <c r="B8" s="82"/>
      <c r="C8" s="74"/>
      <c r="D8" s="142" t="s">
        <v>83</v>
      </c>
      <c r="E8" s="142"/>
      <c r="F8" s="142"/>
      <c r="G8" s="142"/>
      <c r="H8" s="142"/>
      <c r="I8" s="142"/>
      <c r="J8" s="142"/>
      <c r="K8" s="142"/>
      <c r="L8" s="142"/>
      <c r="M8" s="142"/>
      <c r="N8" s="161">
        <f>COUNTA(_xlfn.UNIQUE(TB_Saídas[Produto]))</f>
        <v>10</v>
      </c>
      <c r="O8" s="161"/>
      <c r="P8" s="161"/>
      <c r="Q8" s="161"/>
      <c r="R8" s="161"/>
      <c r="S8" s="161"/>
      <c r="T8" s="161"/>
      <c r="U8" s="161"/>
      <c r="V8" s="79"/>
      <c r="AA8" s="82"/>
      <c r="AB8" s="74"/>
      <c r="AC8" s="134" t="s">
        <v>84</v>
      </c>
      <c r="AD8" s="134"/>
      <c r="AE8" s="134"/>
      <c r="AF8" s="134"/>
      <c r="AG8" s="134"/>
      <c r="AH8" s="134"/>
      <c r="AI8" s="134"/>
      <c r="AJ8" s="134"/>
      <c r="AK8" s="134"/>
      <c r="AL8" s="135"/>
      <c r="AM8" s="154" t="s">
        <v>6</v>
      </c>
      <c r="AN8" s="155"/>
      <c r="AO8" s="155"/>
      <c r="AP8" s="155"/>
      <c r="AQ8" s="155"/>
      <c r="AR8" s="155"/>
      <c r="AS8" s="155"/>
      <c r="AT8" s="156"/>
      <c r="AU8" s="79"/>
    </row>
    <row r="9" spans="2:47" ht="10.5" customHeight="1" x14ac:dyDescent="0.25">
      <c r="B9" s="82"/>
      <c r="C9" s="74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61"/>
      <c r="O9" s="161"/>
      <c r="P9" s="161"/>
      <c r="Q9" s="161"/>
      <c r="R9" s="161"/>
      <c r="S9" s="161"/>
      <c r="T9" s="161"/>
      <c r="U9" s="161"/>
      <c r="V9" s="79"/>
      <c r="AA9" s="82"/>
      <c r="AB9" s="74"/>
      <c r="AC9" s="134"/>
      <c r="AD9" s="134"/>
      <c r="AE9" s="134"/>
      <c r="AF9" s="134"/>
      <c r="AG9" s="134"/>
      <c r="AH9" s="134"/>
      <c r="AI9" s="134"/>
      <c r="AJ9" s="134"/>
      <c r="AK9" s="134"/>
      <c r="AL9" s="135"/>
      <c r="AM9" s="157"/>
      <c r="AN9" s="158"/>
      <c r="AO9" s="158"/>
      <c r="AP9" s="158"/>
      <c r="AQ9" s="158"/>
      <c r="AR9" s="158"/>
      <c r="AS9" s="158"/>
      <c r="AT9" s="159"/>
      <c r="AU9" s="79"/>
    </row>
    <row r="10" spans="2:47" ht="10.5" customHeight="1" x14ac:dyDescent="0.35">
      <c r="B10" s="82"/>
      <c r="C10" s="74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8"/>
      <c r="O10" s="78"/>
      <c r="P10" s="78"/>
      <c r="Q10" s="78"/>
      <c r="R10" s="78"/>
      <c r="S10" s="78"/>
      <c r="T10" s="78"/>
      <c r="U10" s="78"/>
      <c r="V10" s="79"/>
      <c r="AA10" s="82"/>
      <c r="AB10" s="74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79"/>
    </row>
    <row r="11" spans="2:47" ht="10.5" customHeight="1" x14ac:dyDescent="0.25">
      <c r="B11" s="82"/>
      <c r="C11" s="74"/>
      <c r="D11" s="142" t="s">
        <v>85</v>
      </c>
      <c r="E11" s="142"/>
      <c r="F11" s="142"/>
      <c r="G11" s="142"/>
      <c r="H11" s="142"/>
      <c r="I11" s="142"/>
      <c r="J11" s="142"/>
      <c r="K11" s="142"/>
      <c r="L11" s="142"/>
      <c r="M11" s="142"/>
      <c r="N11" s="161">
        <f>SUM(TB_ControleEstoque[Saldo em Estoque])</f>
        <v>1670</v>
      </c>
      <c r="O11" s="161"/>
      <c r="P11" s="161"/>
      <c r="Q11" s="161"/>
      <c r="R11" s="161"/>
      <c r="S11" s="161"/>
      <c r="T11" s="161"/>
      <c r="U11" s="161"/>
      <c r="V11" s="79"/>
      <c r="AA11" s="82"/>
      <c r="AB11" s="74"/>
      <c r="AC11" s="134" t="s">
        <v>85</v>
      </c>
      <c r="AD11" s="134"/>
      <c r="AE11" s="134"/>
      <c r="AF11" s="134"/>
      <c r="AG11" s="134"/>
      <c r="AH11" s="134"/>
      <c r="AI11" s="134"/>
      <c r="AJ11" s="134"/>
      <c r="AK11" s="134"/>
      <c r="AL11" s="135"/>
      <c r="AM11" s="160">
        <f>DSUM(TB_ControleEstoque[#All],TB_ControleEstoque[[#Headers],[Saldo em Estoque]],CriteriosConsultaProduto)</f>
        <v>690</v>
      </c>
      <c r="AN11" s="143"/>
      <c r="AO11" s="143"/>
      <c r="AP11" s="143"/>
      <c r="AQ11" s="143"/>
      <c r="AR11" s="143"/>
      <c r="AS11" s="143"/>
      <c r="AT11" s="144"/>
      <c r="AU11" s="79"/>
    </row>
    <row r="12" spans="2:47" ht="10.5" customHeight="1" x14ac:dyDescent="0.25">
      <c r="B12" s="82"/>
      <c r="C12" s="74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61"/>
      <c r="O12" s="161"/>
      <c r="P12" s="161"/>
      <c r="Q12" s="161"/>
      <c r="R12" s="161"/>
      <c r="S12" s="161"/>
      <c r="T12" s="161"/>
      <c r="U12" s="161"/>
      <c r="V12" s="79"/>
      <c r="AA12" s="82"/>
      <c r="AB12" s="7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5"/>
      <c r="AM12" s="145"/>
      <c r="AN12" s="146"/>
      <c r="AO12" s="146"/>
      <c r="AP12" s="146"/>
      <c r="AQ12" s="146"/>
      <c r="AR12" s="146"/>
      <c r="AS12" s="146"/>
      <c r="AT12" s="147"/>
      <c r="AU12" s="79"/>
    </row>
    <row r="13" spans="2:47" ht="10.5" customHeight="1" x14ac:dyDescent="0.35">
      <c r="B13" s="82"/>
      <c r="C13" s="74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80"/>
      <c r="O13" s="80"/>
      <c r="P13" s="80"/>
      <c r="Q13" s="80"/>
      <c r="R13" s="80"/>
      <c r="S13" s="80"/>
      <c r="T13" s="80"/>
      <c r="U13" s="80"/>
      <c r="V13" s="79"/>
      <c r="AA13" s="82"/>
      <c r="AB13" s="74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79"/>
    </row>
    <row r="14" spans="2:47" ht="10.5" customHeight="1" x14ac:dyDescent="0.25">
      <c r="B14" s="82"/>
      <c r="C14" s="74"/>
      <c r="D14" s="142" t="s">
        <v>86</v>
      </c>
      <c r="E14" s="142"/>
      <c r="F14" s="142"/>
      <c r="G14" s="142"/>
      <c r="H14" s="142"/>
      <c r="I14" s="142"/>
      <c r="J14" s="142"/>
      <c r="K14" s="142"/>
      <c r="L14" s="142"/>
      <c r="M14" s="142"/>
      <c r="N14" s="162">
        <f>SUM(TB_Saídas[Valor de Venda])</f>
        <v>19042.5</v>
      </c>
      <c r="O14" s="162"/>
      <c r="P14" s="162"/>
      <c r="Q14" s="162"/>
      <c r="R14" s="162"/>
      <c r="S14" s="162"/>
      <c r="T14" s="162"/>
      <c r="U14" s="162"/>
      <c r="V14" s="79"/>
      <c r="AA14" s="82"/>
      <c r="AB14" s="74"/>
      <c r="AC14" s="134" t="s">
        <v>86</v>
      </c>
      <c r="AD14" s="134"/>
      <c r="AE14" s="134"/>
      <c r="AF14" s="134"/>
      <c r="AG14" s="134"/>
      <c r="AH14" s="134"/>
      <c r="AI14" s="134"/>
      <c r="AJ14" s="134"/>
      <c r="AK14" s="134"/>
      <c r="AL14" s="135"/>
      <c r="AM14" s="136">
        <f>DSUM(TB_Saídas[#All],TB_Saídas[[#Headers],[Valor de Venda]],CriteriosConsultaProduto)</f>
        <v>5670</v>
      </c>
      <c r="AN14" s="137"/>
      <c r="AO14" s="137"/>
      <c r="AP14" s="137"/>
      <c r="AQ14" s="137"/>
      <c r="AR14" s="137"/>
      <c r="AS14" s="137"/>
      <c r="AT14" s="138"/>
      <c r="AU14" s="79"/>
    </row>
    <row r="15" spans="2:47" ht="10.5" customHeight="1" x14ac:dyDescent="0.25">
      <c r="B15" s="82"/>
      <c r="C15" s="74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62"/>
      <c r="O15" s="162"/>
      <c r="P15" s="162"/>
      <c r="Q15" s="162"/>
      <c r="R15" s="162"/>
      <c r="S15" s="162"/>
      <c r="T15" s="162"/>
      <c r="U15" s="162"/>
      <c r="V15" s="79"/>
      <c r="AA15" s="82"/>
      <c r="AB15" s="7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5"/>
      <c r="AM15" s="139"/>
      <c r="AN15" s="140"/>
      <c r="AO15" s="140"/>
      <c r="AP15" s="140"/>
      <c r="AQ15" s="140"/>
      <c r="AR15" s="140"/>
      <c r="AS15" s="140"/>
      <c r="AT15" s="141"/>
      <c r="AU15" s="79"/>
    </row>
    <row r="16" spans="2:47" ht="10.5" customHeight="1" x14ac:dyDescent="0.35">
      <c r="B16" s="82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80"/>
      <c r="O16" s="80"/>
      <c r="P16" s="80"/>
      <c r="Q16" s="80"/>
      <c r="R16" s="80"/>
      <c r="S16" s="80"/>
      <c r="T16" s="80"/>
      <c r="U16" s="80"/>
      <c r="V16" s="79"/>
      <c r="AA16" s="82"/>
      <c r="AB16" s="74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79"/>
    </row>
    <row r="17" spans="2:47" ht="10.5" customHeight="1" x14ac:dyDescent="0.25">
      <c r="B17" s="82"/>
      <c r="C17" s="74"/>
      <c r="D17" s="142" t="s">
        <v>87</v>
      </c>
      <c r="E17" s="142"/>
      <c r="F17" s="142"/>
      <c r="G17" s="142"/>
      <c r="H17" s="142"/>
      <c r="I17" s="142"/>
      <c r="J17" s="142"/>
      <c r="K17" s="142"/>
      <c r="L17" s="142"/>
      <c r="M17" s="142"/>
      <c r="N17" s="162">
        <f>SUM(TB_Entradas[Valor da Compra])</f>
        <v>5530</v>
      </c>
      <c r="O17" s="162"/>
      <c r="P17" s="162"/>
      <c r="Q17" s="162"/>
      <c r="R17" s="162"/>
      <c r="S17" s="162"/>
      <c r="T17" s="162"/>
      <c r="U17" s="162"/>
      <c r="V17" s="79"/>
      <c r="AA17" s="82"/>
      <c r="AB17" s="74"/>
      <c r="AC17" s="134" t="s">
        <v>87</v>
      </c>
      <c r="AD17" s="134"/>
      <c r="AE17" s="134"/>
      <c r="AF17" s="134"/>
      <c r="AG17" s="134"/>
      <c r="AH17" s="134"/>
      <c r="AI17" s="134"/>
      <c r="AJ17" s="134"/>
      <c r="AK17" s="134"/>
      <c r="AL17" s="135"/>
      <c r="AM17" s="136">
        <f>DSUM(TB_Entradas[#All],TB_Entradas[[#Headers],[Valor da Compra]],CriteriosConsultaProduto)</f>
        <v>3270</v>
      </c>
      <c r="AN17" s="137"/>
      <c r="AO17" s="137"/>
      <c r="AP17" s="137"/>
      <c r="AQ17" s="137"/>
      <c r="AR17" s="137"/>
      <c r="AS17" s="137"/>
      <c r="AT17" s="138"/>
      <c r="AU17" s="79"/>
    </row>
    <row r="18" spans="2:47" ht="10.5" customHeight="1" x14ac:dyDescent="0.25">
      <c r="B18" s="82"/>
      <c r="C18" s="74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62"/>
      <c r="O18" s="162"/>
      <c r="P18" s="162"/>
      <c r="Q18" s="162"/>
      <c r="R18" s="162"/>
      <c r="S18" s="162"/>
      <c r="T18" s="162"/>
      <c r="U18" s="162"/>
      <c r="V18" s="79"/>
      <c r="AA18" s="82"/>
      <c r="AB18" s="7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5"/>
      <c r="AM18" s="139"/>
      <c r="AN18" s="140"/>
      <c r="AO18" s="140"/>
      <c r="AP18" s="140"/>
      <c r="AQ18" s="140"/>
      <c r="AR18" s="140"/>
      <c r="AS18" s="140"/>
      <c r="AT18" s="141"/>
      <c r="AU18" s="79"/>
    </row>
    <row r="19" spans="2:47" ht="10.5" customHeight="1" x14ac:dyDescent="0.35">
      <c r="B19" s="82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80"/>
      <c r="O19" s="80"/>
      <c r="P19" s="80"/>
      <c r="Q19" s="80"/>
      <c r="R19" s="80"/>
      <c r="S19" s="80"/>
      <c r="T19" s="80"/>
      <c r="U19" s="80"/>
      <c r="V19" s="79"/>
      <c r="AA19" s="82"/>
      <c r="AB19" s="74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79"/>
    </row>
    <row r="20" spans="2:47" ht="10.5" customHeight="1" x14ac:dyDescent="0.25">
      <c r="B20" s="82"/>
      <c r="C20" s="74"/>
      <c r="D20" s="142" t="s">
        <v>88</v>
      </c>
      <c r="E20" s="142"/>
      <c r="F20" s="142"/>
      <c r="G20" s="142"/>
      <c r="H20" s="142"/>
      <c r="I20" s="142"/>
      <c r="J20" s="142"/>
      <c r="K20" s="142"/>
      <c r="L20" s="142"/>
      <c r="M20" s="142"/>
      <c r="N20" s="162">
        <f>N14-N17</f>
        <v>13512.5</v>
      </c>
      <c r="O20" s="162"/>
      <c r="P20" s="162"/>
      <c r="Q20" s="162"/>
      <c r="R20" s="162"/>
      <c r="S20" s="162"/>
      <c r="T20" s="162"/>
      <c r="U20" s="162"/>
      <c r="V20" s="79"/>
      <c r="AA20" s="82"/>
      <c r="AB20" s="74"/>
      <c r="AC20" s="134" t="s">
        <v>88</v>
      </c>
      <c r="AD20" s="134"/>
      <c r="AE20" s="134"/>
      <c r="AF20" s="134"/>
      <c r="AG20" s="134"/>
      <c r="AH20" s="134"/>
      <c r="AI20" s="134"/>
      <c r="AJ20" s="134"/>
      <c r="AK20" s="134"/>
      <c r="AL20" s="135"/>
      <c r="AM20" s="136">
        <f>AM14-AM17</f>
        <v>2400</v>
      </c>
      <c r="AN20" s="143"/>
      <c r="AO20" s="143"/>
      <c r="AP20" s="143"/>
      <c r="AQ20" s="143"/>
      <c r="AR20" s="143"/>
      <c r="AS20" s="143"/>
      <c r="AT20" s="144"/>
      <c r="AU20" s="79"/>
    </row>
    <row r="21" spans="2:47" ht="10.5" customHeight="1" x14ac:dyDescent="0.25">
      <c r="B21" s="82"/>
      <c r="C21" s="74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62"/>
      <c r="O21" s="162"/>
      <c r="P21" s="162"/>
      <c r="Q21" s="162"/>
      <c r="R21" s="162"/>
      <c r="S21" s="162"/>
      <c r="T21" s="162"/>
      <c r="U21" s="162"/>
      <c r="V21" s="79"/>
      <c r="AA21" s="82"/>
      <c r="AB21" s="7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5"/>
      <c r="AM21" s="145"/>
      <c r="AN21" s="146"/>
      <c r="AO21" s="146"/>
      <c r="AP21" s="146"/>
      <c r="AQ21" s="146"/>
      <c r="AR21" s="146"/>
      <c r="AS21" s="146"/>
      <c r="AT21" s="147"/>
      <c r="AU21" s="79"/>
    </row>
    <row r="22" spans="2:47" ht="10.5" customHeight="1" x14ac:dyDescent="0.35">
      <c r="B22" s="82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80"/>
      <c r="O22" s="80"/>
      <c r="P22" s="80"/>
      <c r="Q22" s="80"/>
      <c r="R22" s="80"/>
      <c r="S22" s="80"/>
      <c r="T22" s="80"/>
      <c r="U22" s="80"/>
      <c r="V22" s="79"/>
      <c r="AA22" s="82"/>
      <c r="AB22" s="74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79"/>
    </row>
    <row r="23" spans="2:47" ht="10.5" customHeight="1" x14ac:dyDescent="0.25">
      <c r="B23" s="82"/>
      <c r="C23" s="74"/>
      <c r="D23" s="142" t="s">
        <v>89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63">
        <f>N20/N17</f>
        <v>2.4434900542495481</v>
      </c>
      <c r="O23" s="163"/>
      <c r="P23" s="163"/>
      <c r="Q23" s="163"/>
      <c r="R23" s="163"/>
      <c r="S23" s="163"/>
      <c r="T23" s="163"/>
      <c r="U23" s="163"/>
      <c r="V23" s="79"/>
      <c r="AA23" s="82"/>
      <c r="AB23" s="74"/>
      <c r="AC23" s="134" t="s">
        <v>89</v>
      </c>
      <c r="AD23" s="134"/>
      <c r="AE23" s="134"/>
      <c r="AF23" s="134"/>
      <c r="AG23" s="134"/>
      <c r="AH23" s="134"/>
      <c r="AI23" s="134"/>
      <c r="AJ23" s="134"/>
      <c r="AK23" s="134"/>
      <c r="AL23" s="135"/>
      <c r="AM23" s="148">
        <f>AM20/AM17</f>
        <v>0.73394495412844041</v>
      </c>
      <c r="AN23" s="149"/>
      <c r="AO23" s="149"/>
      <c r="AP23" s="149"/>
      <c r="AQ23" s="149"/>
      <c r="AR23" s="149"/>
      <c r="AS23" s="149"/>
      <c r="AT23" s="150"/>
      <c r="AU23" s="79"/>
    </row>
    <row r="24" spans="2:47" ht="10.5" customHeight="1" x14ac:dyDescent="0.25">
      <c r="B24" s="82"/>
      <c r="C24" s="74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63"/>
      <c r="O24" s="163"/>
      <c r="P24" s="163"/>
      <c r="Q24" s="163"/>
      <c r="R24" s="163"/>
      <c r="S24" s="163"/>
      <c r="T24" s="163"/>
      <c r="U24" s="163"/>
      <c r="V24" s="79"/>
      <c r="AA24" s="82"/>
      <c r="AB24" s="7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5"/>
      <c r="AM24" s="151"/>
      <c r="AN24" s="152"/>
      <c r="AO24" s="152"/>
      <c r="AP24" s="152"/>
      <c r="AQ24" s="152"/>
      <c r="AR24" s="152"/>
      <c r="AS24" s="152"/>
      <c r="AT24" s="153"/>
      <c r="AU24" s="79"/>
    </row>
    <row r="25" spans="2:47" ht="10.5" customHeight="1" thickBot="1" x14ac:dyDescent="0.3">
      <c r="B25" s="82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81"/>
      <c r="AA25" s="82"/>
      <c r="AB25" s="76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81"/>
    </row>
    <row r="26" spans="2:47" ht="10.5" customHeight="1" x14ac:dyDescent="0.25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U68"/>
  <sheetViews>
    <sheetView topLeftCell="J1" zoomScale="140" zoomScaleNormal="140" workbookViewId="0">
      <selection activeCell="Q4" sqref="Q4"/>
    </sheetView>
  </sheetViews>
  <sheetFormatPr defaultRowHeight="15" x14ac:dyDescent="0.25"/>
  <cols>
    <col min="1" max="1" width="3.5703125" customWidth="1"/>
    <col min="2" max="2" width="18.7109375" customWidth="1"/>
    <col min="3" max="3" width="17.140625" customWidth="1"/>
    <col min="4" max="4" width="15.42578125" customWidth="1"/>
    <col min="6" max="6" width="17.28515625" bestFit="1" customWidth="1"/>
    <col min="7" max="7" width="11.5703125" bestFit="1" customWidth="1"/>
    <col min="8" max="8" width="14.85546875" customWidth="1"/>
    <col min="9" max="9" width="14.42578125" customWidth="1"/>
    <col min="11" max="11" width="17.28515625" style="2" bestFit="1" customWidth="1"/>
    <col min="12" max="12" width="9.140625" style="2"/>
    <col min="13" max="13" width="11.5703125" style="2" bestFit="1" customWidth="1"/>
    <col min="14" max="14" width="12.7109375" style="2" bestFit="1" customWidth="1"/>
    <col min="15" max="15" width="11" style="2" bestFit="1" customWidth="1"/>
  </cols>
  <sheetData>
    <row r="1" spans="1:21" ht="15.75" thickBot="1" x14ac:dyDescent="0.3">
      <c r="A1" s="167" t="s">
        <v>104</v>
      </c>
      <c r="B1" s="168"/>
      <c r="C1" s="168"/>
      <c r="D1" s="169"/>
      <c r="F1" s="167" t="s">
        <v>109</v>
      </c>
      <c r="G1" s="168"/>
      <c r="H1" s="168"/>
      <c r="I1" s="169"/>
      <c r="K1" s="164" t="s">
        <v>124</v>
      </c>
      <c r="L1" s="165"/>
      <c r="M1" s="165"/>
      <c r="N1" s="165"/>
      <c r="O1" s="166"/>
      <c r="Q1" s="164" t="s">
        <v>125</v>
      </c>
      <c r="R1" s="165"/>
      <c r="S1" s="165"/>
      <c r="T1" s="114"/>
      <c r="U1" s="115"/>
    </row>
    <row r="2" spans="1:21" s="87" customFormat="1" x14ac:dyDescent="0.25">
      <c r="A2" s="105"/>
      <c r="B2" s="106" t="s">
        <v>1</v>
      </c>
      <c r="C2" s="106" t="s">
        <v>73</v>
      </c>
      <c r="D2" s="107" t="s">
        <v>105</v>
      </c>
      <c r="F2" s="96" t="s">
        <v>110</v>
      </c>
      <c r="G2" s="97" t="s">
        <v>108</v>
      </c>
      <c r="H2" s="97" t="s">
        <v>107</v>
      </c>
      <c r="I2" s="98" t="s">
        <v>111</v>
      </c>
      <c r="K2" s="96" t="s">
        <v>1</v>
      </c>
      <c r="L2" s="96" t="s">
        <v>110</v>
      </c>
      <c r="M2" s="97" t="s">
        <v>108</v>
      </c>
      <c r="N2" s="97" t="s">
        <v>73</v>
      </c>
      <c r="O2" s="98" t="s">
        <v>105</v>
      </c>
      <c r="Q2" s="96" t="s">
        <v>1</v>
      </c>
      <c r="R2" s="97" t="s">
        <v>73</v>
      </c>
      <c r="S2" s="98" t="s">
        <v>105</v>
      </c>
    </row>
    <row r="3" spans="1:21" x14ac:dyDescent="0.25">
      <c r="A3" s="100">
        <v>1</v>
      </c>
      <c r="B3" s="99" t="str">
        <f>_xlfn.XLOOKUP(D3,'Visão Produtos'!B:B,'Visão Produtos'!A:A)</f>
        <v>Café</v>
      </c>
      <c r="C3" s="99">
        <f>SUMIF(TB_Entradas[Produto],B3,TB_Entradas[Quantidade Comprada])</f>
        <v>1635</v>
      </c>
      <c r="D3" s="101">
        <f>LARGE('Visão Produtos'!B:B,'Base de Cálculos'!A3)</f>
        <v>945</v>
      </c>
      <c r="F3" s="90">
        <v>1</v>
      </c>
      <c r="G3" s="88">
        <f>DATE(,F3,1)</f>
        <v>1</v>
      </c>
      <c r="H3" s="89">
        <f>SUMIF(TB_Saídas[Mês],F3,TB_Saídas[Valor de Venda])</f>
        <v>1475</v>
      </c>
      <c r="I3" s="91">
        <f>SUMIF(TB_Entradas[Mês],F3,TB_Entradas[Valor da Compra])</f>
        <v>297.5</v>
      </c>
      <c r="K3" s="90" t="str">
        <f>Dashboard!$AN$30</f>
        <v>Café</v>
      </c>
      <c r="L3" s="90">
        <v>1</v>
      </c>
      <c r="M3" s="88" t="s">
        <v>112</v>
      </c>
      <c r="N3" s="112">
        <f>SUMIFS(TB_Entradas[Quantidade Comprada],TB_Entradas[Produto],$K$3,TB_Entradas[Mês],L3)</f>
        <v>100</v>
      </c>
      <c r="O3" s="113">
        <f>SUMIFS(TB_Saídas[Quantidade Vendida],TB_Saídas[Produto],$K$3,TB_Saídas[Mês],L3)</f>
        <v>80</v>
      </c>
      <c r="Q3" s="105" t="str">
        <f>Dashboard!$AN$30</f>
        <v>Café</v>
      </c>
      <c r="R3" s="105">
        <f>SUMIF(TB_Entradas[Produto],Q3,TB_Entradas[Quantidade Comprada])</f>
        <v>1635</v>
      </c>
      <c r="S3" s="105">
        <f>SUMIF(TB_Saídas[Produto],Q3,TB_Saídas[Quantidade Vendida])</f>
        <v>945</v>
      </c>
    </row>
    <row r="4" spans="1:21" x14ac:dyDescent="0.25">
      <c r="A4" s="100">
        <v>2</v>
      </c>
      <c r="B4" s="99" t="str">
        <f>_xlfn.XLOOKUP(D4,'Visão Produtos'!B:B,'Visão Produtos'!A:A)</f>
        <v>Chocolate Quente</v>
      </c>
      <c r="C4" s="99">
        <f>SUMIF(TB_Entradas[Produto],B4,TB_Entradas[Quantidade Comprada])</f>
        <v>750</v>
      </c>
      <c r="D4" s="101">
        <f>LARGE('Visão Produtos'!B:B,'Base de Cálculos'!A4)</f>
        <v>500</v>
      </c>
      <c r="F4" s="90">
        <v>2</v>
      </c>
      <c r="G4" s="88">
        <f t="shared" ref="G4:G14" si="0">DATE(,F4,1)</f>
        <v>32</v>
      </c>
      <c r="H4" s="89">
        <f>SUMIF(TB_Saídas[Mês],F4,TB_Saídas[Valor de Venda])</f>
        <v>1652.5</v>
      </c>
      <c r="I4" s="91">
        <f>SUMIF(TB_Entradas[Mês],F4,TB_Entradas[Valor da Compra])</f>
        <v>378.75</v>
      </c>
      <c r="K4"/>
      <c r="L4" s="90">
        <v>2</v>
      </c>
      <c r="M4" s="88" t="s">
        <v>113</v>
      </c>
      <c r="N4" s="112">
        <f>SUMIFS(TB_Entradas[Quantidade Comprada],TB_Entradas[Produto],$K$3,TB_Entradas[Mês],L4)</f>
        <v>125</v>
      </c>
      <c r="O4" s="113">
        <f>SUMIFS(TB_Saídas[Quantidade Vendida],TB_Saídas[Produto],$K$3,TB_Saídas[Mês],L4)</f>
        <v>110</v>
      </c>
      <c r="Q4" s="6"/>
    </row>
    <row r="5" spans="1:21" x14ac:dyDescent="0.25">
      <c r="A5" s="100">
        <v>3</v>
      </c>
      <c r="B5" s="99" t="str">
        <f>_xlfn.XLOOKUP(D5,'Visão Produtos'!B:B,'Visão Produtos'!A:A)</f>
        <v>Pão de Queijo</v>
      </c>
      <c r="C5" s="99">
        <f>SUMIF(TB_Entradas[Produto],B5,TB_Entradas[Quantidade Comprada])</f>
        <v>620</v>
      </c>
      <c r="D5" s="101">
        <f>LARGE('Visão Produtos'!B:B,'Base de Cálculos'!A5)</f>
        <v>400</v>
      </c>
      <c r="F5" s="90">
        <v>3</v>
      </c>
      <c r="G5" s="88">
        <f t="shared" si="0"/>
        <v>61</v>
      </c>
      <c r="H5" s="89">
        <f>SUMIF(TB_Saídas[Mês],F5,TB_Saídas[Valor de Venda])</f>
        <v>2302.5</v>
      </c>
      <c r="I5" s="91">
        <f>SUMIF(TB_Entradas[Mês],F5,TB_Entradas[Valor da Compra])</f>
        <v>922.5</v>
      </c>
      <c r="K5"/>
      <c r="L5" s="90">
        <v>3</v>
      </c>
      <c r="M5" s="88" t="s">
        <v>114</v>
      </c>
      <c r="N5" s="112">
        <f>SUMIFS(TB_Entradas[Quantidade Comprada],TB_Entradas[Produto],$K$3,TB_Entradas[Mês],L5)</f>
        <v>150</v>
      </c>
      <c r="O5" s="113">
        <f>SUMIFS(TB_Saídas[Quantidade Vendida],TB_Saídas[Produto],$K$3,TB_Saídas[Mês],L5)</f>
        <v>100</v>
      </c>
    </row>
    <row r="6" spans="1:21" x14ac:dyDescent="0.25">
      <c r="A6" s="100">
        <v>4</v>
      </c>
      <c r="B6" s="99" t="str">
        <f>_xlfn.XLOOKUP(D6,'Visão Produtos'!B:B,'Visão Produtos'!A:A)</f>
        <v>Coxinha</v>
      </c>
      <c r="C6" s="99">
        <f>SUMIF(TB_Entradas[Produto],B6,TB_Entradas[Quantidade Comprada])</f>
        <v>550</v>
      </c>
      <c r="D6" s="101">
        <f>LARGE('Visão Produtos'!B:B,'Base de Cálculos'!A6)</f>
        <v>245</v>
      </c>
      <c r="F6" s="90">
        <v>4</v>
      </c>
      <c r="G6" s="88">
        <f t="shared" si="0"/>
        <v>92</v>
      </c>
      <c r="H6" s="89">
        <f>SUMIF(TB_Saídas[Mês],F6,TB_Saídas[Valor de Venda])</f>
        <v>1507.5</v>
      </c>
      <c r="I6" s="91">
        <f>SUMIF(TB_Entradas[Mês],F6,TB_Entradas[Valor da Compra])</f>
        <v>362.5</v>
      </c>
      <c r="K6"/>
      <c r="L6" s="90">
        <v>4</v>
      </c>
      <c r="M6" s="88" t="s">
        <v>115</v>
      </c>
      <c r="N6" s="112">
        <f>SUMIFS(TB_Entradas[Quantidade Comprada],TB_Entradas[Produto],$K$3,TB_Entradas[Mês],L6)</f>
        <v>150</v>
      </c>
      <c r="O6" s="113">
        <f>SUMIFS(TB_Saídas[Quantidade Vendida],TB_Saídas[Produto],$K$3,TB_Saídas[Mês],L6)</f>
        <v>75</v>
      </c>
      <c r="Q6" s="6"/>
    </row>
    <row r="7" spans="1:21" ht="15.75" thickBot="1" x14ac:dyDescent="0.3">
      <c r="A7" s="102">
        <v>5</v>
      </c>
      <c r="B7" s="103" t="str">
        <f>_xlfn.XLOOKUP(D7,'Visão Produtos'!B:B,'Visão Produtos'!A:A)</f>
        <v>Refrigerante</v>
      </c>
      <c r="C7" s="103">
        <f>SUMIF(TB_Entradas[Produto],B7,TB_Entradas[Quantidade Comprada])</f>
        <v>350</v>
      </c>
      <c r="D7" s="104">
        <f>LARGE('Visão Produtos'!B:B,'Base de Cálculos'!A7)</f>
        <v>210</v>
      </c>
      <c r="F7" s="90">
        <v>5</v>
      </c>
      <c r="G7" s="88">
        <f t="shared" si="0"/>
        <v>122</v>
      </c>
      <c r="H7" s="89">
        <f>SUMIF(TB_Saídas[Mês],F7,TB_Saídas[Valor de Venda])</f>
        <v>1372</v>
      </c>
      <c r="I7" s="91">
        <f>SUMIF(TB_Entradas[Mês],F7,TB_Entradas[Valor da Compra])</f>
        <v>723.75</v>
      </c>
      <c r="K7"/>
      <c r="L7" s="90">
        <v>5</v>
      </c>
      <c r="M7" s="88" t="s">
        <v>116</v>
      </c>
      <c r="N7" s="112">
        <f>SUMIFS(TB_Entradas[Quantidade Comprada],TB_Entradas[Produto],$K$3,TB_Entradas[Mês],L7)</f>
        <v>100</v>
      </c>
      <c r="O7" s="113">
        <f>SUMIFS(TB_Saídas[Quantidade Vendida],TB_Saídas[Produto],$K$3,TB_Saídas[Mês],L7)</f>
        <v>75</v>
      </c>
    </row>
    <row r="8" spans="1:21" ht="15.75" thickBot="1" x14ac:dyDescent="0.3">
      <c r="F8" s="90">
        <v>6</v>
      </c>
      <c r="G8" s="88">
        <f t="shared" si="0"/>
        <v>153</v>
      </c>
      <c r="H8" s="89">
        <f>SUMIF(TB_Saídas[Mês],F8,TB_Saídas[Valor de Venda])</f>
        <v>1145</v>
      </c>
      <c r="I8" s="91">
        <f>SUMIF(TB_Entradas[Mês],F8,TB_Entradas[Valor da Compra])</f>
        <v>376.25</v>
      </c>
      <c r="K8"/>
      <c r="L8" s="90">
        <v>6</v>
      </c>
      <c r="M8" s="88" t="s">
        <v>117</v>
      </c>
      <c r="N8" s="112">
        <f>SUMIFS(TB_Entradas[Quantidade Comprada],TB_Entradas[Produto],$K$3,TB_Entradas[Mês],L8)</f>
        <v>150</v>
      </c>
      <c r="O8" s="113">
        <f>SUMIFS(TB_Saídas[Quantidade Vendida],TB_Saídas[Produto],$K$3,TB_Saídas[Mês],L8)</f>
        <v>100</v>
      </c>
      <c r="Q8" s="6"/>
    </row>
    <row r="9" spans="1:21" ht="15.75" thickBot="1" x14ac:dyDescent="0.3">
      <c r="A9" s="167" t="s">
        <v>106</v>
      </c>
      <c r="B9" s="168"/>
      <c r="C9" s="168"/>
      <c r="D9" s="169"/>
      <c r="F9" s="90">
        <v>7</v>
      </c>
      <c r="G9" s="88">
        <f t="shared" si="0"/>
        <v>183</v>
      </c>
      <c r="H9" s="89">
        <f>SUMIF(TB_Saídas[Mês],F9,TB_Saídas[Valor de Venda])</f>
        <v>2217.5</v>
      </c>
      <c r="I9" s="91">
        <f>SUMIF(TB_Entradas[Mês],F9,TB_Entradas[Valor da Compra])</f>
        <v>355</v>
      </c>
      <c r="K9"/>
      <c r="L9" s="90">
        <v>7</v>
      </c>
      <c r="M9" s="88" t="s">
        <v>118</v>
      </c>
      <c r="N9" s="112">
        <f>SUMIFS(TB_Entradas[Quantidade Comprada],TB_Entradas[Produto],$K$3,TB_Entradas[Mês],L9)</f>
        <v>150</v>
      </c>
      <c r="O9" s="113">
        <f>SUMIFS(TB_Saídas[Quantidade Vendida],TB_Saídas[Produto],$K$3,TB_Saídas[Mês],L9)</f>
        <v>90</v>
      </c>
    </row>
    <row r="10" spans="1:21" s="2" customFormat="1" x14ac:dyDescent="0.25">
      <c r="A10" s="108"/>
      <c r="B10" s="109" t="s">
        <v>1</v>
      </c>
      <c r="C10" s="109" t="s">
        <v>107</v>
      </c>
      <c r="D10" s="110"/>
      <c r="F10" s="90">
        <v>8</v>
      </c>
      <c r="G10" s="88">
        <f t="shared" si="0"/>
        <v>214</v>
      </c>
      <c r="H10" s="89">
        <f>SUMIF(TB_Saídas[Mês],F10,TB_Saídas[Valor de Venda])</f>
        <v>1621.5</v>
      </c>
      <c r="I10" s="91">
        <f>SUMIF(TB_Entradas[Mês],F10,TB_Entradas[Valor da Compra])</f>
        <v>431.25</v>
      </c>
      <c r="K10"/>
      <c r="L10" s="90">
        <v>8</v>
      </c>
      <c r="M10" s="88" t="s">
        <v>119</v>
      </c>
      <c r="N10" s="112">
        <f>SUMIFS(TB_Entradas[Quantidade Comprada],TB_Entradas[Produto],$K$3,TB_Entradas[Mês],L10)</f>
        <v>150</v>
      </c>
      <c r="O10" s="113">
        <f>SUMIFS(TB_Saídas[Quantidade Vendida],TB_Saídas[Produto],$K$3,TB_Saídas[Mês],L10)</f>
        <v>100</v>
      </c>
      <c r="Q10" s="6"/>
    </row>
    <row r="11" spans="1:21" x14ac:dyDescent="0.25">
      <c r="A11" s="100">
        <v>1</v>
      </c>
      <c r="B11" s="99" t="str">
        <f>_xlfn.XLOOKUP(C11,'Visão Produtos'!C:C,'Visão Produtos'!A:A)</f>
        <v>Café</v>
      </c>
      <c r="C11" s="89">
        <f>LARGE('Visão Produtos'!C:C,'Base de Cálculos'!A11)</f>
        <v>5670</v>
      </c>
      <c r="D11" s="101"/>
      <c r="F11" s="90">
        <v>9</v>
      </c>
      <c r="G11" s="88">
        <f t="shared" si="0"/>
        <v>245</v>
      </c>
      <c r="H11" s="89">
        <f>SUMIF(TB_Saídas[Mês],F11,TB_Saídas[Valor de Venda])</f>
        <v>2234</v>
      </c>
      <c r="I11" s="91">
        <f>SUMIF(TB_Entradas[Mês],F11,TB_Entradas[Valor da Compra])</f>
        <v>806</v>
      </c>
      <c r="K11"/>
      <c r="L11" s="90">
        <v>9</v>
      </c>
      <c r="M11" s="88" t="s">
        <v>120</v>
      </c>
      <c r="N11" s="112">
        <f>SUMIFS(TB_Entradas[Quantidade Comprada],TB_Entradas[Produto],$K$3,TB_Entradas[Mês],L11)</f>
        <v>180</v>
      </c>
      <c r="O11" s="113">
        <f>SUMIFS(TB_Saídas[Quantidade Vendida],TB_Saídas[Produto],$K$3,TB_Saídas[Mês],L11)</f>
        <v>35</v>
      </c>
    </row>
    <row r="12" spans="1:21" x14ac:dyDescent="0.25">
      <c r="A12" s="100">
        <v>2</v>
      </c>
      <c r="B12" s="99" t="str">
        <f>_xlfn.XLOOKUP(C12,'Visão Produtos'!C:C,'Visão Produtos'!A:A)</f>
        <v>Chocolate Quente</v>
      </c>
      <c r="C12" s="89">
        <f>LARGE('Visão Produtos'!C:C,'Base de Cálculos'!A12)</f>
        <v>4250</v>
      </c>
      <c r="D12" s="101"/>
      <c r="F12" s="90">
        <v>10</v>
      </c>
      <c r="G12" s="88">
        <f t="shared" si="0"/>
        <v>275</v>
      </c>
      <c r="H12" s="89">
        <f>SUMIF(TB_Saídas[Mês],F12,TB_Saídas[Valor de Venda])</f>
        <v>1508</v>
      </c>
      <c r="I12" s="91">
        <f>SUMIF(TB_Entradas[Mês],F12,TB_Entradas[Valor da Compra])</f>
        <v>247.75</v>
      </c>
      <c r="K12"/>
      <c r="L12" s="90">
        <v>10</v>
      </c>
      <c r="M12" s="88" t="s">
        <v>121</v>
      </c>
      <c r="N12" s="112">
        <f>SUMIFS(TB_Entradas[Quantidade Comprada],TB_Entradas[Produto],$K$3,TB_Entradas[Mês],L12)</f>
        <v>100</v>
      </c>
      <c r="O12" s="113">
        <f>SUMIFS(TB_Saídas[Quantidade Vendida],TB_Saídas[Produto],$K$3,TB_Saídas[Mês],L12)</f>
        <v>30</v>
      </c>
      <c r="Q12" s="6"/>
    </row>
    <row r="13" spans="1:21" x14ac:dyDescent="0.25">
      <c r="A13" s="100">
        <v>3</v>
      </c>
      <c r="B13" s="99" t="str">
        <f>_xlfn.XLOOKUP(C13,'Visão Produtos'!C:C,'Visão Produtos'!A:A)</f>
        <v>Pão de Queijo</v>
      </c>
      <c r="C13" s="89">
        <f>LARGE('Visão Produtos'!C:C,'Base de Cálculos'!A13)</f>
        <v>3000</v>
      </c>
      <c r="D13" s="101"/>
      <c r="F13" s="90">
        <v>11</v>
      </c>
      <c r="G13" s="88">
        <f t="shared" si="0"/>
        <v>306</v>
      </c>
      <c r="H13" s="89">
        <f>SUMIF(TB_Saídas[Mês],F13,TB_Saídas[Valor de Venda])</f>
        <v>811.5</v>
      </c>
      <c r="I13" s="91">
        <f>SUMIF(TB_Entradas[Mês],F13,TB_Entradas[Valor da Compra])</f>
        <v>218.75</v>
      </c>
      <c r="K13"/>
      <c r="L13" s="90">
        <v>11</v>
      </c>
      <c r="M13" s="88" t="s">
        <v>122</v>
      </c>
      <c r="N13" s="112">
        <f>SUMIFS(TB_Entradas[Quantidade Comprada],TB_Entradas[Produto],$K$3,TB_Entradas[Mês],L13)</f>
        <v>80</v>
      </c>
      <c r="O13" s="113">
        <f>SUMIFS(TB_Saídas[Quantidade Vendida],TB_Saídas[Produto],$K$3,TB_Saídas[Mês],L13)</f>
        <v>50</v>
      </c>
    </row>
    <row r="14" spans="1:21" ht="15.75" thickBot="1" x14ac:dyDescent="0.3">
      <c r="A14" s="100">
        <v>4</v>
      </c>
      <c r="B14" s="99" t="str">
        <f>_xlfn.XLOOKUP(C14,'Visão Produtos'!C:C,'Visão Produtos'!A:A)</f>
        <v>Refrigerante</v>
      </c>
      <c r="C14" s="89">
        <f>LARGE('Visão Produtos'!C:C,'Base de Cálculos'!A14)</f>
        <v>1680</v>
      </c>
      <c r="D14" s="101"/>
      <c r="F14" s="92">
        <v>12</v>
      </c>
      <c r="G14" s="93">
        <f t="shared" si="0"/>
        <v>336</v>
      </c>
      <c r="H14" s="94">
        <f>SUMIF(TB_Saídas[Mês],F14,TB_Saídas[Valor de Venda])</f>
        <v>1195.5</v>
      </c>
      <c r="I14" s="95">
        <f>SUMIF(TB_Entradas[Mês],F14,TB_Entradas[Valor da Compra])</f>
        <v>410</v>
      </c>
      <c r="K14"/>
      <c r="L14" s="92">
        <v>12</v>
      </c>
      <c r="M14" s="93" t="s">
        <v>123</v>
      </c>
      <c r="N14" s="112">
        <f>SUMIFS(TB_Entradas[Quantidade Comprada],TB_Entradas[Produto],$K$3,TB_Entradas[Mês],L14)</f>
        <v>200</v>
      </c>
      <c r="O14" s="113">
        <f>SUMIFS(TB_Saídas[Quantidade Vendida],TB_Saídas[Produto],$K$3,TB_Saídas[Mês],L14)</f>
        <v>100</v>
      </c>
    </row>
    <row r="15" spans="1:21" ht="15.75" thickBot="1" x14ac:dyDescent="0.3">
      <c r="A15" s="102">
        <v>5</v>
      </c>
      <c r="B15" s="103" t="str">
        <f>_xlfn.XLOOKUP(C15,'Visão Produtos'!C:C,'Visão Produtos'!A:A)</f>
        <v>Coxinha</v>
      </c>
      <c r="C15" s="94">
        <f>LARGE('Visão Produtos'!C:C,'Base de Cálculos'!A15)</f>
        <v>1592.5</v>
      </c>
      <c r="D15" s="104"/>
      <c r="K15"/>
      <c r="L15"/>
      <c r="M15"/>
      <c r="N15"/>
      <c r="O15"/>
    </row>
    <row r="16" spans="1:21" x14ac:dyDescent="0.25">
      <c r="K16"/>
      <c r="L16"/>
      <c r="M16"/>
      <c r="N16"/>
      <c r="O16"/>
    </row>
    <row r="17" spans="2:15" x14ac:dyDescent="0.25">
      <c r="K17"/>
      <c r="L17"/>
      <c r="M17"/>
      <c r="N17"/>
      <c r="O17"/>
    </row>
    <row r="18" spans="2:15" ht="15.75" thickBot="1" x14ac:dyDescent="0.3">
      <c r="K18"/>
      <c r="L18"/>
      <c r="M18"/>
      <c r="N18"/>
      <c r="O18"/>
    </row>
    <row r="19" spans="2:15" ht="15.75" thickBot="1" x14ac:dyDescent="0.3">
      <c r="B19" s="164"/>
      <c r="C19" s="165"/>
      <c r="D19" s="170"/>
      <c r="K19"/>
      <c r="L19"/>
      <c r="M19"/>
      <c r="N19"/>
      <c r="O19"/>
    </row>
    <row r="20" spans="2:15" x14ac:dyDescent="0.25">
      <c r="B20" s="111"/>
      <c r="C20" s="111"/>
      <c r="D20" s="111"/>
      <c r="E20" s="111"/>
      <c r="F20" s="111"/>
      <c r="G20" s="111"/>
      <c r="H20" s="111"/>
      <c r="K20"/>
      <c r="L20"/>
      <c r="M20"/>
      <c r="N20"/>
      <c r="O20"/>
    </row>
    <row r="21" spans="2:15" x14ac:dyDescent="0.25">
      <c r="K21"/>
      <c r="L21"/>
      <c r="M21"/>
      <c r="N21"/>
      <c r="O21"/>
    </row>
    <row r="22" spans="2:15" x14ac:dyDescent="0.25">
      <c r="K22"/>
      <c r="L22"/>
      <c r="M22"/>
      <c r="N22"/>
      <c r="O22"/>
    </row>
    <row r="23" spans="2:15" x14ac:dyDescent="0.25">
      <c r="K23"/>
      <c r="L23"/>
      <c r="M23"/>
      <c r="N23"/>
      <c r="O23"/>
    </row>
    <row r="24" spans="2:15" x14ac:dyDescent="0.25">
      <c r="K24"/>
      <c r="L24"/>
      <c r="M24"/>
      <c r="N24"/>
      <c r="O24"/>
    </row>
    <row r="25" spans="2:15" x14ac:dyDescent="0.25">
      <c r="K25"/>
      <c r="L25"/>
      <c r="M25"/>
      <c r="N25"/>
      <c r="O25"/>
    </row>
    <row r="26" spans="2:15" x14ac:dyDescent="0.25">
      <c r="K26"/>
      <c r="L26"/>
      <c r="M26"/>
      <c r="N26"/>
      <c r="O26"/>
    </row>
    <row r="27" spans="2:15" x14ac:dyDescent="0.25">
      <c r="K27"/>
      <c r="L27"/>
      <c r="M27"/>
      <c r="N27"/>
      <c r="O27"/>
    </row>
    <row r="28" spans="2:15" x14ac:dyDescent="0.25">
      <c r="K28"/>
      <c r="L28"/>
      <c r="M28"/>
      <c r="N28"/>
      <c r="O28"/>
    </row>
    <row r="29" spans="2:15" x14ac:dyDescent="0.25">
      <c r="K29"/>
      <c r="L29"/>
      <c r="M29"/>
      <c r="N29"/>
      <c r="O29"/>
    </row>
    <row r="30" spans="2:15" x14ac:dyDescent="0.25">
      <c r="K30"/>
      <c r="L30"/>
      <c r="M30"/>
      <c r="N30"/>
      <c r="O30"/>
    </row>
    <row r="31" spans="2:15" x14ac:dyDescent="0.25">
      <c r="K31"/>
      <c r="L31"/>
      <c r="M31"/>
      <c r="N31"/>
      <c r="O31"/>
    </row>
    <row r="32" spans="2:15" x14ac:dyDescent="0.25">
      <c r="K32"/>
      <c r="L32"/>
      <c r="M32"/>
      <c r="N32"/>
      <c r="O32"/>
    </row>
    <row r="33" spans="11:15" x14ac:dyDescent="0.25">
      <c r="K33"/>
      <c r="L33"/>
      <c r="M33"/>
      <c r="N33"/>
      <c r="O33"/>
    </row>
    <row r="34" spans="11:15" x14ac:dyDescent="0.25">
      <c r="K34"/>
    </row>
    <row r="35" spans="11:15" x14ac:dyDescent="0.25">
      <c r="K35"/>
    </row>
    <row r="36" spans="11:15" x14ac:dyDescent="0.25">
      <c r="K36"/>
    </row>
    <row r="37" spans="11:15" x14ac:dyDescent="0.25">
      <c r="K37"/>
    </row>
    <row r="38" spans="11:15" x14ac:dyDescent="0.25">
      <c r="K38"/>
    </row>
    <row r="39" spans="11:15" x14ac:dyDescent="0.25">
      <c r="K39"/>
    </row>
    <row r="40" spans="11:15" x14ac:dyDescent="0.25">
      <c r="K40"/>
    </row>
    <row r="41" spans="11:15" x14ac:dyDescent="0.25">
      <c r="K41"/>
    </row>
    <row r="42" spans="11:15" x14ac:dyDescent="0.25">
      <c r="K42"/>
    </row>
    <row r="43" spans="11:15" x14ac:dyDescent="0.25">
      <c r="K43"/>
    </row>
    <row r="44" spans="11:15" x14ac:dyDescent="0.25">
      <c r="K44"/>
    </row>
    <row r="45" spans="11:15" x14ac:dyDescent="0.25">
      <c r="K45"/>
    </row>
    <row r="46" spans="11:15" x14ac:dyDescent="0.25">
      <c r="K46"/>
    </row>
    <row r="47" spans="11:15" x14ac:dyDescent="0.25">
      <c r="K47"/>
    </row>
    <row r="48" spans="11:15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</sheetData>
  <sortState xmlns:xlrd2="http://schemas.microsoft.com/office/spreadsheetml/2017/richdata2" ref="K3:O29">
    <sortCondition ref="K3:K29"/>
  </sortState>
  <mergeCells count="6">
    <mergeCell ref="B19:D19"/>
    <mergeCell ref="K1:O1"/>
    <mergeCell ref="Q1:S1"/>
    <mergeCell ref="A1:D1"/>
    <mergeCell ref="A9:D9"/>
    <mergeCell ref="F1:I1"/>
  </mergeCells>
  <phoneticPr fontId="3" type="noConversion"/>
  <dataValidations count="2">
    <dataValidation type="list" allowBlank="1" showInputMessage="1" showErrorMessage="1" sqref="F21" xr:uid="{3232CC2F-F8C9-4D21-AC88-2430CEC72A4E}">
      <formula1>$B$76:$B$86</formula1>
    </dataValidation>
    <dataValidation type="list" allowBlank="1" showInputMessage="1" showErrorMessage="1" sqref="G21" xr:uid="{44AA2A6B-9654-4955-A584-F3A84AD79DD6}">
      <formula1>$C$76:$C$87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EEF5-2DAE-4BDE-8B29-42DE91A2AFB7}">
  <dimension ref="B1:DV48"/>
  <sheetViews>
    <sheetView workbookViewId="0">
      <selection activeCell="CM16" sqref="CM16"/>
    </sheetView>
  </sheetViews>
  <sheetFormatPr defaultColWidth="2.140625" defaultRowHeight="9" customHeight="1" x14ac:dyDescent="0.25"/>
  <sheetData>
    <row r="1" spans="2:99" ht="9" customHeight="1" thickBot="1" x14ac:dyDescent="0.3">
      <c r="B1" s="171" t="s">
        <v>90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25"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72" t="s">
        <v>91</v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4"/>
      <c r="AU2" s="17"/>
      <c r="AX2" s="172" t="s">
        <v>92</v>
      </c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4"/>
      <c r="BM2" s="17"/>
      <c r="BP2" s="172" t="s">
        <v>93</v>
      </c>
      <c r="BQ2" s="173"/>
      <c r="BR2" s="173"/>
      <c r="BS2" s="173"/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4"/>
    </row>
    <row r="3" spans="2:99" ht="9" customHeight="1" thickBot="1" x14ac:dyDescent="0.3"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75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7"/>
      <c r="AU3" s="17"/>
      <c r="AX3" s="175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7"/>
      <c r="BM3" s="17"/>
      <c r="BP3" s="175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7"/>
    </row>
    <row r="4" spans="2:99" ht="9" customHeight="1" x14ac:dyDescent="0.25"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178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80"/>
      <c r="AU4" s="16"/>
      <c r="AX4" s="178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80"/>
      <c r="BM4" s="21"/>
      <c r="BN4" s="22"/>
      <c r="BO4" s="22"/>
      <c r="BP4" s="184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6"/>
    </row>
    <row r="5" spans="2:99" ht="9" customHeight="1" x14ac:dyDescent="0.25"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178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80"/>
      <c r="AU5" s="16"/>
      <c r="AX5" s="178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  <c r="BJ5" s="179"/>
      <c r="BK5" s="179"/>
      <c r="BL5" s="180"/>
      <c r="BM5" s="21"/>
      <c r="BN5" s="22"/>
      <c r="BO5" s="22"/>
      <c r="BP5" s="184"/>
      <c r="BQ5" s="185"/>
      <c r="BR5" s="185"/>
      <c r="BS5" s="185"/>
      <c r="BT5" s="185"/>
      <c r="BU5" s="185"/>
      <c r="BV5" s="185"/>
      <c r="BW5" s="185"/>
      <c r="BX5" s="185"/>
      <c r="BY5" s="185"/>
      <c r="BZ5" s="185"/>
      <c r="CA5" s="185"/>
      <c r="CB5" s="185"/>
      <c r="CC5" s="185"/>
      <c r="CD5" s="186"/>
    </row>
    <row r="6" spans="2:99" ht="9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78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80"/>
      <c r="AU6" s="16"/>
      <c r="AX6" s="178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80"/>
      <c r="BM6" s="21"/>
      <c r="BN6" s="22"/>
      <c r="BO6" s="22"/>
      <c r="BP6" s="184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6"/>
    </row>
    <row r="7" spans="2:99" ht="9" customHeight="1" thickBot="1" x14ac:dyDescent="0.3">
      <c r="B7" s="27"/>
      <c r="Z7" s="27"/>
      <c r="AF7" s="181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3"/>
      <c r="AU7" s="16"/>
      <c r="AX7" s="181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3"/>
      <c r="BM7" s="21"/>
      <c r="BN7" s="22"/>
      <c r="BO7" s="22"/>
      <c r="BP7" s="187"/>
      <c r="BQ7" s="188"/>
      <c r="BR7" s="188"/>
      <c r="BS7" s="188"/>
      <c r="BT7" s="188"/>
      <c r="BU7" s="188"/>
      <c r="BV7" s="188"/>
      <c r="BW7" s="188"/>
      <c r="BX7" s="188"/>
      <c r="BY7" s="188"/>
      <c r="BZ7" s="188"/>
      <c r="CA7" s="188"/>
      <c r="CB7" s="188"/>
      <c r="CC7" s="188"/>
      <c r="CD7" s="189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">
      <c r="B8" s="27"/>
      <c r="C8" s="172" t="s">
        <v>94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4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">
      <c r="B9" s="23"/>
      <c r="C9" s="175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7"/>
      <c r="Z9" s="23"/>
      <c r="AB9" s="172" t="s">
        <v>95</v>
      </c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3"/>
      <c r="CE9" s="173"/>
      <c r="CF9" s="174"/>
      <c r="CG9" s="14"/>
    </row>
    <row r="10" spans="2:99" ht="9" customHeight="1" thickBot="1" x14ac:dyDescent="0.3">
      <c r="B10" s="23"/>
      <c r="C10" s="190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2"/>
      <c r="Z10" s="23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7"/>
    </row>
    <row r="11" spans="2:99" ht="9" customHeight="1" x14ac:dyDescent="0.25">
      <c r="B11" s="23"/>
      <c r="C11" s="190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2"/>
      <c r="Z11" s="23"/>
      <c r="AB11" s="196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197"/>
      <c r="CC11" s="197"/>
      <c r="CD11" s="197"/>
      <c r="CE11" s="197"/>
      <c r="CF11" s="198"/>
    </row>
    <row r="12" spans="2:99" ht="9" customHeight="1" x14ac:dyDescent="0.25">
      <c r="B12" s="23"/>
      <c r="C12" s="190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2"/>
      <c r="Z12" s="23"/>
      <c r="AB12" s="199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0"/>
      <c r="BF12" s="200"/>
      <c r="BG12" s="200"/>
      <c r="BH12" s="200"/>
      <c r="BI12" s="200"/>
      <c r="BJ12" s="200"/>
      <c r="BK12" s="200"/>
      <c r="BL12" s="200"/>
      <c r="BM12" s="200"/>
      <c r="BN12" s="200"/>
      <c r="BO12" s="200"/>
      <c r="BP12" s="200"/>
      <c r="BQ12" s="200"/>
      <c r="BR12" s="200"/>
      <c r="BS12" s="200"/>
      <c r="BT12" s="200"/>
      <c r="BU12" s="200"/>
      <c r="BV12" s="200"/>
      <c r="BW12" s="200"/>
      <c r="BX12" s="200"/>
      <c r="BY12" s="200"/>
      <c r="BZ12" s="200"/>
      <c r="CA12" s="200"/>
      <c r="CB12" s="200"/>
      <c r="CC12" s="200"/>
      <c r="CD12" s="200"/>
      <c r="CE12" s="200"/>
      <c r="CF12" s="201"/>
    </row>
    <row r="13" spans="2:99" ht="9" customHeight="1" x14ac:dyDescent="0.25">
      <c r="B13" s="23"/>
      <c r="C13" s="190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2"/>
      <c r="Z13" s="23"/>
      <c r="AA13" s="15"/>
      <c r="AB13" s="199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  <c r="BS13" s="200"/>
      <c r="BT13" s="200"/>
      <c r="BU13" s="200"/>
      <c r="BV13" s="200"/>
      <c r="BW13" s="200"/>
      <c r="BX13" s="200"/>
      <c r="BY13" s="200"/>
      <c r="BZ13" s="200"/>
      <c r="CA13" s="200"/>
      <c r="CB13" s="200"/>
      <c r="CC13" s="200"/>
      <c r="CD13" s="200"/>
      <c r="CE13" s="200"/>
      <c r="CF13" s="201"/>
    </row>
    <row r="14" spans="2:99" ht="9" customHeight="1" x14ac:dyDescent="0.25">
      <c r="C14" s="190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2"/>
      <c r="Z14" s="15"/>
      <c r="AB14" s="199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  <c r="BG14" s="200"/>
      <c r="BH14" s="200"/>
      <c r="BI14" s="200"/>
      <c r="BJ14" s="200"/>
      <c r="BK14" s="200"/>
      <c r="BL14" s="200"/>
      <c r="BM14" s="200"/>
      <c r="BN14" s="200"/>
      <c r="BO14" s="200"/>
      <c r="BP14" s="200"/>
      <c r="BQ14" s="200"/>
      <c r="BR14" s="200"/>
      <c r="BS14" s="200"/>
      <c r="BT14" s="200"/>
      <c r="BU14" s="200"/>
      <c r="BV14" s="200"/>
      <c r="BW14" s="200"/>
      <c r="BX14" s="200"/>
      <c r="BY14" s="200"/>
      <c r="BZ14" s="200"/>
      <c r="CA14" s="200"/>
      <c r="CB14" s="200"/>
      <c r="CC14" s="200"/>
      <c r="CD14" s="200"/>
      <c r="CE14" s="200"/>
      <c r="CF14" s="201"/>
    </row>
    <row r="15" spans="2:99" ht="9" customHeight="1" x14ac:dyDescent="0.25">
      <c r="C15" s="190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2"/>
      <c r="Z15" s="15"/>
      <c r="AB15" s="199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0"/>
      <c r="BN15" s="200"/>
      <c r="BO15" s="200"/>
      <c r="BP15" s="200"/>
      <c r="BQ15" s="200"/>
      <c r="BR15" s="200"/>
      <c r="BS15" s="200"/>
      <c r="BT15" s="200"/>
      <c r="BU15" s="200"/>
      <c r="BV15" s="200"/>
      <c r="BW15" s="200"/>
      <c r="BX15" s="200"/>
      <c r="BY15" s="200"/>
      <c r="BZ15" s="200"/>
      <c r="CA15" s="200"/>
      <c r="CB15" s="200"/>
      <c r="CC15" s="200"/>
      <c r="CD15" s="200"/>
      <c r="CE15" s="200"/>
      <c r="CF15" s="201"/>
    </row>
    <row r="16" spans="2:99" ht="9" customHeight="1" x14ac:dyDescent="0.25">
      <c r="C16" s="190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2"/>
      <c r="Z16" s="15"/>
      <c r="AB16" s="199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0"/>
      <c r="BE16" s="200"/>
      <c r="BF16" s="200"/>
      <c r="BG16" s="200"/>
      <c r="BH16" s="200"/>
      <c r="BI16" s="200"/>
      <c r="BJ16" s="200"/>
      <c r="BK16" s="200"/>
      <c r="BL16" s="200"/>
      <c r="BM16" s="200"/>
      <c r="BN16" s="200"/>
      <c r="BO16" s="200"/>
      <c r="BP16" s="200"/>
      <c r="BQ16" s="200"/>
      <c r="BR16" s="200"/>
      <c r="BS16" s="200"/>
      <c r="BT16" s="200"/>
      <c r="BU16" s="200"/>
      <c r="BV16" s="200"/>
      <c r="BW16" s="200"/>
      <c r="BX16" s="200"/>
      <c r="BY16" s="200"/>
      <c r="BZ16" s="200"/>
      <c r="CA16" s="200"/>
      <c r="CB16" s="200"/>
      <c r="CC16" s="200"/>
      <c r="CD16" s="200"/>
      <c r="CE16" s="200"/>
      <c r="CF16" s="201"/>
    </row>
    <row r="17" spans="2:84" ht="9" customHeight="1" x14ac:dyDescent="0.25">
      <c r="C17" s="190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2"/>
      <c r="Z17" s="15"/>
      <c r="AB17" s="199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  <c r="BS17" s="200"/>
      <c r="BT17" s="200"/>
      <c r="BU17" s="200"/>
      <c r="BV17" s="200"/>
      <c r="BW17" s="200"/>
      <c r="BX17" s="200"/>
      <c r="BY17" s="200"/>
      <c r="BZ17" s="200"/>
      <c r="CA17" s="200"/>
      <c r="CB17" s="200"/>
      <c r="CC17" s="200"/>
      <c r="CD17" s="200"/>
      <c r="CE17" s="200"/>
      <c r="CF17" s="201"/>
    </row>
    <row r="18" spans="2:84" ht="9" customHeight="1" x14ac:dyDescent="0.25">
      <c r="C18" s="190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2"/>
      <c r="Z18" s="15"/>
      <c r="AB18" s="199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0"/>
      <c r="BD18" s="200"/>
      <c r="BE18" s="200"/>
      <c r="BF18" s="200"/>
      <c r="BG18" s="200"/>
      <c r="BH18" s="200"/>
      <c r="BI18" s="200"/>
      <c r="BJ18" s="200"/>
      <c r="BK18" s="200"/>
      <c r="BL18" s="200"/>
      <c r="BM18" s="200"/>
      <c r="BN18" s="200"/>
      <c r="BO18" s="200"/>
      <c r="BP18" s="200"/>
      <c r="BQ18" s="200"/>
      <c r="BR18" s="200"/>
      <c r="BS18" s="200"/>
      <c r="BT18" s="200"/>
      <c r="BU18" s="200"/>
      <c r="BV18" s="200"/>
      <c r="BW18" s="200"/>
      <c r="BX18" s="200"/>
      <c r="BY18" s="200"/>
      <c r="BZ18" s="200"/>
      <c r="CA18" s="200"/>
      <c r="CB18" s="200"/>
      <c r="CC18" s="200"/>
      <c r="CD18" s="200"/>
      <c r="CE18" s="200"/>
      <c r="CF18" s="201"/>
    </row>
    <row r="19" spans="2:84" ht="9" customHeight="1" x14ac:dyDescent="0.25">
      <c r="C19" s="190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2"/>
      <c r="AB19" s="199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  <c r="BS19" s="200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  <c r="CD19" s="200"/>
      <c r="CE19" s="200"/>
      <c r="CF19" s="201"/>
    </row>
    <row r="20" spans="2:84" ht="9" customHeight="1" x14ac:dyDescent="0.25">
      <c r="C20" s="190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2"/>
      <c r="AB20" s="199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200"/>
      <c r="BQ20" s="200"/>
      <c r="BR20" s="200"/>
      <c r="BS20" s="200"/>
      <c r="BT20" s="200"/>
      <c r="BU20" s="200"/>
      <c r="BV20" s="200"/>
      <c r="BW20" s="200"/>
      <c r="BX20" s="200"/>
      <c r="BY20" s="200"/>
      <c r="BZ20" s="200"/>
      <c r="CA20" s="200"/>
      <c r="CB20" s="200"/>
      <c r="CC20" s="200"/>
      <c r="CD20" s="200"/>
      <c r="CE20" s="200"/>
      <c r="CF20" s="201"/>
    </row>
    <row r="21" spans="2:84" ht="9" customHeight="1" x14ac:dyDescent="0.25">
      <c r="C21" s="190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2"/>
      <c r="Z21" s="15"/>
      <c r="AB21" s="199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  <c r="BS21" s="200"/>
      <c r="BT21" s="200"/>
      <c r="BU21" s="200"/>
      <c r="BV21" s="200"/>
      <c r="BW21" s="200"/>
      <c r="BX21" s="200"/>
      <c r="BY21" s="200"/>
      <c r="BZ21" s="200"/>
      <c r="CA21" s="200"/>
      <c r="CB21" s="200"/>
      <c r="CC21" s="200"/>
      <c r="CD21" s="200"/>
      <c r="CE21" s="200"/>
      <c r="CF21" s="201"/>
    </row>
    <row r="22" spans="2:84" ht="9" customHeight="1" x14ac:dyDescent="0.25">
      <c r="C22" s="190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2"/>
      <c r="Z22" s="15"/>
      <c r="AB22" s="199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  <c r="BS22" s="200"/>
      <c r="BT22" s="200"/>
      <c r="BU22" s="200"/>
      <c r="BV22" s="200"/>
      <c r="BW22" s="200"/>
      <c r="BX22" s="200"/>
      <c r="BY22" s="200"/>
      <c r="BZ22" s="200"/>
      <c r="CA22" s="200"/>
      <c r="CB22" s="200"/>
      <c r="CC22" s="200"/>
      <c r="CD22" s="200"/>
      <c r="CE22" s="200"/>
      <c r="CF22" s="201"/>
    </row>
    <row r="23" spans="2:84" ht="9" customHeight="1" x14ac:dyDescent="0.25">
      <c r="C23" s="190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2"/>
      <c r="Z23" s="15"/>
      <c r="AB23" s="199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200"/>
      <c r="BR23" s="200"/>
      <c r="BS23" s="200"/>
      <c r="BT23" s="200"/>
      <c r="BU23" s="200"/>
      <c r="BV23" s="200"/>
      <c r="BW23" s="200"/>
      <c r="BX23" s="200"/>
      <c r="BY23" s="200"/>
      <c r="BZ23" s="200"/>
      <c r="CA23" s="200"/>
      <c r="CB23" s="200"/>
      <c r="CC23" s="200"/>
      <c r="CD23" s="200"/>
      <c r="CE23" s="200"/>
      <c r="CF23" s="201"/>
    </row>
    <row r="24" spans="2:84" ht="9" customHeight="1" x14ac:dyDescent="0.25">
      <c r="C24" s="190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2"/>
      <c r="Z24" s="15"/>
      <c r="AB24" s="199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1"/>
    </row>
    <row r="25" spans="2:84" ht="9" customHeight="1" thickBot="1" x14ac:dyDescent="0.3">
      <c r="C25" s="190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2"/>
      <c r="Z25" s="15"/>
      <c r="AA25" s="28"/>
      <c r="AB25" s="202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203"/>
      <c r="BO25" s="203"/>
      <c r="BP25" s="203"/>
      <c r="BQ25" s="203"/>
      <c r="BR25" s="203"/>
      <c r="BS25" s="203"/>
      <c r="BT25" s="203"/>
      <c r="BU25" s="203"/>
      <c r="BV25" s="203"/>
      <c r="BW25" s="203"/>
      <c r="BX25" s="203"/>
      <c r="BY25" s="203"/>
      <c r="BZ25" s="203"/>
      <c r="CA25" s="203"/>
      <c r="CB25" s="203"/>
      <c r="CC25" s="203"/>
      <c r="CD25" s="203"/>
      <c r="CE25" s="203"/>
      <c r="CF25" s="204"/>
    </row>
    <row r="26" spans="2:84" ht="9" customHeight="1" x14ac:dyDescent="0.25">
      <c r="C26" s="190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2"/>
      <c r="Z26" s="15"/>
    </row>
    <row r="27" spans="2:84" ht="9" customHeight="1" thickBot="1" x14ac:dyDescent="0.3">
      <c r="B27" s="18"/>
      <c r="C27" s="193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5"/>
      <c r="Z27" s="15"/>
    </row>
    <row r="28" spans="2:84" ht="9" customHeight="1" thickBot="1" x14ac:dyDescent="0.3">
      <c r="Z28" s="15"/>
      <c r="AB28" s="172" t="s">
        <v>96</v>
      </c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4"/>
      <c r="BO28" s="85"/>
      <c r="BP28" s="172" t="s">
        <v>97</v>
      </c>
      <c r="BQ28" s="173"/>
      <c r="BR28" s="173"/>
      <c r="BS28" s="173"/>
      <c r="BT28" s="173"/>
      <c r="BU28" s="173"/>
      <c r="BV28" s="173"/>
      <c r="BW28" s="173"/>
      <c r="BX28" s="173"/>
      <c r="BY28" s="173"/>
      <c r="BZ28" s="173"/>
      <c r="CA28" s="173"/>
      <c r="CB28" s="173"/>
      <c r="CC28" s="173"/>
      <c r="CD28" s="173"/>
      <c r="CE28" s="173"/>
      <c r="CF28" s="174"/>
    </row>
    <row r="29" spans="2:84" ht="9" customHeight="1" thickBot="1" x14ac:dyDescent="0.3">
      <c r="C29" s="172" t="s">
        <v>98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4"/>
      <c r="AB29" s="175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6"/>
      <c r="BN29" s="177"/>
      <c r="BO29" s="85"/>
      <c r="BP29" s="175"/>
      <c r="BQ29" s="176"/>
      <c r="BR29" s="176"/>
      <c r="BS29" s="176"/>
      <c r="BT29" s="176"/>
      <c r="BU29" s="176"/>
      <c r="BV29" s="176"/>
      <c r="BW29" s="176"/>
      <c r="BX29" s="176"/>
      <c r="BY29" s="176"/>
      <c r="BZ29" s="176"/>
      <c r="CA29" s="176"/>
      <c r="CB29" s="176"/>
      <c r="CC29" s="176"/>
      <c r="CD29" s="176"/>
      <c r="CE29" s="176"/>
      <c r="CF29" s="177"/>
    </row>
    <row r="30" spans="2:84" ht="9" customHeight="1" thickBot="1" x14ac:dyDescent="0.3">
      <c r="B30" s="20"/>
      <c r="C30" s="175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7"/>
      <c r="AB30" s="31"/>
      <c r="AN30" s="205" t="s">
        <v>1</v>
      </c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N30" s="32"/>
      <c r="BP30" s="207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9"/>
    </row>
    <row r="31" spans="2:84" ht="9" customHeight="1" x14ac:dyDescent="0.25">
      <c r="C31" s="210" t="s">
        <v>99</v>
      </c>
      <c r="D31" s="211"/>
      <c r="E31" s="211"/>
      <c r="F31" s="211"/>
      <c r="G31" s="216"/>
      <c r="H31" s="217"/>
      <c r="I31" s="217"/>
      <c r="J31" s="217"/>
      <c r="K31" s="217"/>
      <c r="L31" s="217"/>
      <c r="M31" s="217"/>
      <c r="N31" s="217"/>
      <c r="O31" s="217"/>
      <c r="P31" s="218"/>
      <c r="Q31" s="222"/>
      <c r="R31" s="223"/>
      <c r="S31" s="223"/>
      <c r="T31" s="223"/>
      <c r="U31" s="223"/>
      <c r="V31" s="223"/>
      <c r="W31" s="223"/>
      <c r="X31" s="223"/>
      <c r="Y31" s="224"/>
      <c r="AB31" s="31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N31" s="32"/>
      <c r="BP31" s="190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2"/>
    </row>
    <row r="32" spans="2:84" ht="9" customHeight="1" x14ac:dyDescent="0.25">
      <c r="C32" s="212"/>
      <c r="D32" s="213"/>
      <c r="E32" s="213"/>
      <c r="F32" s="213"/>
      <c r="G32" s="219"/>
      <c r="H32" s="220"/>
      <c r="I32" s="220"/>
      <c r="J32" s="220"/>
      <c r="K32" s="220"/>
      <c r="L32" s="220"/>
      <c r="M32" s="220"/>
      <c r="N32" s="220"/>
      <c r="O32" s="220"/>
      <c r="P32" s="221"/>
      <c r="Q32" s="225"/>
      <c r="R32" s="226"/>
      <c r="S32" s="226"/>
      <c r="T32" s="226"/>
      <c r="U32" s="226"/>
      <c r="V32" s="226"/>
      <c r="W32" s="226"/>
      <c r="X32" s="226"/>
      <c r="Y32" s="227"/>
      <c r="AB32" s="190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2"/>
      <c r="BP32" s="190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2"/>
    </row>
    <row r="33" spans="2:126" ht="9" customHeight="1" thickBot="1" x14ac:dyDescent="0.3">
      <c r="C33" s="214"/>
      <c r="D33" s="215"/>
      <c r="E33" s="215"/>
      <c r="F33" s="215"/>
      <c r="G33" s="219"/>
      <c r="H33" s="220"/>
      <c r="I33" s="220"/>
      <c r="J33" s="220"/>
      <c r="K33" s="220"/>
      <c r="L33" s="220"/>
      <c r="M33" s="220"/>
      <c r="N33" s="220"/>
      <c r="O33" s="220"/>
      <c r="P33" s="221"/>
      <c r="Q33" s="228"/>
      <c r="R33" s="229"/>
      <c r="S33" s="229"/>
      <c r="T33" s="229"/>
      <c r="U33" s="229"/>
      <c r="V33" s="229"/>
      <c r="W33" s="229"/>
      <c r="X33" s="229"/>
      <c r="Y33" s="230"/>
      <c r="AB33" s="190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2"/>
      <c r="BP33" s="190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2"/>
    </row>
    <row r="34" spans="2:126" ht="9" customHeight="1" thickTop="1" x14ac:dyDescent="0.25">
      <c r="C34" s="231" t="s">
        <v>100</v>
      </c>
      <c r="D34" s="232"/>
      <c r="E34" s="232"/>
      <c r="F34" s="232"/>
      <c r="G34" s="233"/>
      <c r="H34" s="234"/>
      <c r="I34" s="234"/>
      <c r="J34" s="234"/>
      <c r="K34" s="234"/>
      <c r="L34" s="234"/>
      <c r="M34" s="234"/>
      <c r="N34" s="234"/>
      <c r="O34" s="234"/>
      <c r="P34" s="235"/>
      <c r="Q34" s="239"/>
      <c r="R34" s="240"/>
      <c r="S34" s="240"/>
      <c r="T34" s="240"/>
      <c r="U34" s="240"/>
      <c r="V34" s="240"/>
      <c r="W34" s="240"/>
      <c r="X34" s="240"/>
      <c r="Y34" s="241"/>
      <c r="Z34" s="18"/>
      <c r="AB34" s="190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2"/>
      <c r="BP34" s="190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2"/>
    </row>
    <row r="35" spans="2:126" ht="9" customHeight="1" x14ac:dyDescent="0.25">
      <c r="B35" s="18"/>
      <c r="C35" s="212"/>
      <c r="D35" s="213"/>
      <c r="E35" s="213"/>
      <c r="F35" s="213"/>
      <c r="G35" s="219"/>
      <c r="H35" s="220"/>
      <c r="I35" s="220"/>
      <c r="J35" s="220"/>
      <c r="K35" s="220"/>
      <c r="L35" s="220"/>
      <c r="M35" s="220"/>
      <c r="N35" s="220"/>
      <c r="O35" s="220"/>
      <c r="P35" s="221"/>
      <c r="Q35" s="225"/>
      <c r="R35" s="226"/>
      <c r="S35" s="226"/>
      <c r="T35" s="226"/>
      <c r="U35" s="226"/>
      <c r="V35" s="226"/>
      <c r="W35" s="226"/>
      <c r="X35" s="226"/>
      <c r="Y35" s="227"/>
      <c r="Z35" s="19"/>
      <c r="AA35" s="19"/>
      <c r="AB35" s="190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2"/>
      <c r="BP35" s="190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2"/>
    </row>
    <row r="36" spans="2:126" ht="9" customHeight="1" thickBot="1" x14ac:dyDescent="0.3">
      <c r="C36" s="214"/>
      <c r="D36" s="215"/>
      <c r="E36" s="215"/>
      <c r="F36" s="215"/>
      <c r="G36" s="236"/>
      <c r="H36" s="237"/>
      <c r="I36" s="237"/>
      <c r="J36" s="237"/>
      <c r="K36" s="237"/>
      <c r="L36" s="237"/>
      <c r="M36" s="237"/>
      <c r="N36" s="237"/>
      <c r="O36" s="237"/>
      <c r="P36" s="238"/>
      <c r="Q36" s="228"/>
      <c r="R36" s="229"/>
      <c r="S36" s="229"/>
      <c r="T36" s="229"/>
      <c r="U36" s="229"/>
      <c r="V36" s="229"/>
      <c r="W36" s="229"/>
      <c r="X36" s="229"/>
      <c r="Y36" s="230"/>
      <c r="Z36" s="19"/>
      <c r="AA36" s="19"/>
      <c r="AB36" s="190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2"/>
      <c r="BP36" s="190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2"/>
    </row>
    <row r="37" spans="2:126" ht="9" customHeight="1" thickTop="1" x14ac:dyDescent="0.25">
      <c r="C37" s="231" t="s">
        <v>101</v>
      </c>
      <c r="D37" s="232"/>
      <c r="E37" s="232"/>
      <c r="F37" s="232"/>
      <c r="G37" s="233"/>
      <c r="H37" s="234"/>
      <c r="I37" s="234"/>
      <c r="J37" s="234"/>
      <c r="K37" s="234"/>
      <c r="L37" s="234"/>
      <c r="M37" s="234"/>
      <c r="N37" s="234"/>
      <c r="O37" s="234"/>
      <c r="P37" s="235"/>
      <c r="Q37" s="239"/>
      <c r="R37" s="240"/>
      <c r="S37" s="240"/>
      <c r="T37" s="240"/>
      <c r="U37" s="240"/>
      <c r="V37" s="240"/>
      <c r="W37" s="240"/>
      <c r="X37" s="240"/>
      <c r="Y37" s="241"/>
      <c r="Z37" s="243"/>
      <c r="AB37" s="190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2"/>
      <c r="BP37" s="190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2"/>
    </row>
    <row r="38" spans="2:126" ht="9" customHeight="1" x14ac:dyDescent="0.25">
      <c r="C38" s="212"/>
      <c r="D38" s="213"/>
      <c r="E38" s="213"/>
      <c r="F38" s="213"/>
      <c r="G38" s="219"/>
      <c r="H38" s="220"/>
      <c r="I38" s="220"/>
      <c r="J38" s="220"/>
      <c r="K38" s="220"/>
      <c r="L38" s="220"/>
      <c r="M38" s="220"/>
      <c r="N38" s="220"/>
      <c r="O38" s="220"/>
      <c r="P38" s="221"/>
      <c r="Q38" s="225"/>
      <c r="R38" s="226"/>
      <c r="S38" s="226"/>
      <c r="T38" s="226"/>
      <c r="U38" s="226"/>
      <c r="V38" s="226"/>
      <c r="W38" s="226"/>
      <c r="X38" s="226"/>
      <c r="Y38" s="227"/>
      <c r="Z38" s="243"/>
      <c r="AB38" s="190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2"/>
      <c r="BP38" s="190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2"/>
    </row>
    <row r="39" spans="2:126" ht="9" customHeight="1" thickBot="1" x14ac:dyDescent="0.3">
      <c r="C39" s="214"/>
      <c r="D39" s="215"/>
      <c r="E39" s="215"/>
      <c r="F39" s="215"/>
      <c r="G39" s="236"/>
      <c r="H39" s="237"/>
      <c r="I39" s="237"/>
      <c r="J39" s="237"/>
      <c r="K39" s="237"/>
      <c r="L39" s="237"/>
      <c r="M39" s="237"/>
      <c r="N39" s="237"/>
      <c r="O39" s="237"/>
      <c r="P39" s="238"/>
      <c r="Q39" s="228"/>
      <c r="R39" s="229"/>
      <c r="S39" s="229"/>
      <c r="T39" s="229"/>
      <c r="U39" s="229"/>
      <c r="V39" s="229"/>
      <c r="W39" s="229"/>
      <c r="X39" s="229"/>
      <c r="Y39" s="230"/>
      <c r="Z39" s="243"/>
      <c r="AB39" s="190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2"/>
      <c r="BP39" s="190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2"/>
    </row>
    <row r="40" spans="2:126" ht="9" customHeight="1" x14ac:dyDescent="0.25">
      <c r="C40" s="231" t="s">
        <v>102</v>
      </c>
      <c r="D40" s="232"/>
      <c r="E40" s="232"/>
      <c r="F40" s="232"/>
      <c r="G40" s="219"/>
      <c r="H40" s="220"/>
      <c r="I40" s="220"/>
      <c r="J40" s="220"/>
      <c r="K40" s="220"/>
      <c r="L40" s="220"/>
      <c r="M40" s="220"/>
      <c r="N40" s="220"/>
      <c r="O40" s="220"/>
      <c r="P40" s="221"/>
      <c r="Q40" s="239"/>
      <c r="R40" s="240"/>
      <c r="S40" s="240"/>
      <c r="T40" s="240"/>
      <c r="U40" s="240"/>
      <c r="V40" s="240"/>
      <c r="W40" s="240"/>
      <c r="X40" s="240"/>
      <c r="Y40" s="241"/>
      <c r="Z40" s="243"/>
      <c r="AB40" s="190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2"/>
      <c r="BP40" s="190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2"/>
    </row>
    <row r="41" spans="2:126" ht="9" customHeight="1" x14ac:dyDescent="0.25">
      <c r="C41" s="212"/>
      <c r="D41" s="213"/>
      <c r="E41" s="213"/>
      <c r="F41" s="213"/>
      <c r="G41" s="219"/>
      <c r="H41" s="220"/>
      <c r="I41" s="220"/>
      <c r="J41" s="220"/>
      <c r="K41" s="220"/>
      <c r="L41" s="220"/>
      <c r="M41" s="220"/>
      <c r="N41" s="220"/>
      <c r="O41" s="220"/>
      <c r="P41" s="221"/>
      <c r="Q41" s="225"/>
      <c r="R41" s="226"/>
      <c r="S41" s="226"/>
      <c r="T41" s="226"/>
      <c r="U41" s="226"/>
      <c r="V41" s="226"/>
      <c r="W41" s="226"/>
      <c r="X41" s="226"/>
      <c r="Y41" s="227"/>
      <c r="Z41" s="243"/>
      <c r="AB41" s="190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2"/>
      <c r="BP41" s="190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2"/>
    </row>
    <row r="42" spans="2:126" ht="9" customHeight="1" thickBot="1" x14ac:dyDescent="0.3">
      <c r="C42" s="214"/>
      <c r="D42" s="215"/>
      <c r="E42" s="215"/>
      <c r="F42" s="215"/>
      <c r="G42" s="236"/>
      <c r="H42" s="237"/>
      <c r="I42" s="237"/>
      <c r="J42" s="237"/>
      <c r="K42" s="237"/>
      <c r="L42" s="237"/>
      <c r="M42" s="237"/>
      <c r="N42" s="237"/>
      <c r="O42" s="237"/>
      <c r="P42" s="238"/>
      <c r="Q42" s="228"/>
      <c r="R42" s="229"/>
      <c r="S42" s="229"/>
      <c r="T42" s="229"/>
      <c r="U42" s="229"/>
      <c r="V42" s="229"/>
      <c r="W42" s="229"/>
      <c r="X42" s="229"/>
      <c r="Y42" s="230"/>
      <c r="Z42" s="243"/>
      <c r="AB42" s="190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2"/>
      <c r="BP42" s="190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2"/>
    </row>
    <row r="43" spans="2:126" ht="9" customHeight="1" x14ac:dyDescent="0.25">
      <c r="C43" s="231" t="s">
        <v>103</v>
      </c>
      <c r="D43" s="232"/>
      <c r="E43" s="232"/>
      <c r="F43" s="232"/>
      <c r="G43" s="219"/>
      <c r="H43" s="220"/>
      <c r="I43" s="220"/>
      <c r="J43" s="220"/>
      <c r="K43" s="220"/>
      <c r="L43" s="220"/>
      <c r="M43" s="220"/>
      <c r="N43" s="220"/>
      <c r="O43" s="220"/>
      <c r="P43" s="221"/>
      <c r="Q43" s="239"/>
      <c r="R43" s="240"/>
      <c r="S43" s="240"/>
      <c r="T43" s="240"/>
      <c r="U43" s="240"/>
      <c r="V43" s="240"/>
      <c r="W43" s="240"/>
      <c r="X43" s="240"/>
      <c r="Y43" s="241"/>
      <c r="Z43" s="243"/>
      <c r="AB43" s="190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2"/>
      <c r="BP43" s="190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2"/>
    </row>
    <row r="44" spans="2:126" ht="9" customHeight="1" x14ac:dyDescent="0.25">
      <c r="C44" s="212"/>
      <c r="D44" s="213"/>
      <c r="E44" s="213"/>
      <c r="F44" s="213"/>
      <c r="G44" s="219"/>
      <c r="H44" s="220"/>
      <c r="I44" s="220"/>
      <c r="J44" s="220"/>
      <c r="K44" s="220"/>
      <c r="L44" s="220"/>
      <c r="M44" s="220"/>
      <c r="N44" s="220"/>
      <c r="O44" s="220"/>
      <c r="P44" s="221"/>
      <c r="Q44" s="225"/>
      <c r="R44" s="226"/>
      <c r="S44" s="226"/>
      <c r="T44" s="226"/>
      <c r="U44" s="226"/>
      <c r="V44" s="226"/>
      <c r="W44" s="226"/>
      <c r="X44" s="226"/>
      <c r="Y44" s="227"/>
      <c r="Z44" s="243"/>
      <c r="AB44" s="190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2"/>
      <c r="BP44" s="190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2"/>
    </row>
    <row r="45" spans="2:126" ht="9" customHeight="1" thickBot="1" x14ac:dyDescent="0.3">
      <c r="C45" s="244"/>
      <c r="D45" s="245"/>
      <c r="E45" s="245"/>
      <c r="F45" s="245"/>
      <c r="G45" s="246"/>
      <c r="H45" s="247"/>
      <c r="I45" s="247"/>
      <c r="J45" s="247"/>
      <c r="K45" s="247"/>
      <c r="L45" s="247"/>
      <c r="M45" s="247"/>
      <c r="N45" s="247"/>
      <c r="O45" s="247"/>
      <c r="P45" s="248"/>
      <c r="Q45" s="249"/>
      <c r="R45" s="250"/>
      <c r="S45" s="250"/>
      <c r="T45" s="250"/>
      <c r="U45" s="250"/>
      <c r="V45" s="250"/>
      <c r="W45" s="250"/>
      <c r="X45" s="250"/>
      <c r="Y45" s="251"/>
      <c r="AB45" s="193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5"/>
      <c r="BP45" s="193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  <c r="CB45" s="194"/>
      <c r="CC45" s="194"/>
      <c r="CD45" s="194"/>
      <c r="CE45" s="194"/>
      <c r="CF45" s="195"/>
    </row>
    <row r="46" spans="2:126" ht="9" customHeight="1" x14ac:dyDescent="0.25">
      <c r="DJ46" s="252"/>
      <c r="DK46" s="252"/>
      <c r="DL46" s="252"/>
      <c r="DM46" s="252"/>
      <c r="DN46" s="252"/>
      <c r="DO46" s="252"/>
      <c r="DP46" s="252"/>
      <c r="DQ46" s="252"/>
      <c r="DR46" s="252"/>
      <c r="DS46" s="252"/>
      <c r="DT46" s="252"/>
      <c r="DU46" s="252"/>
      <c r="DV46" s="252"/>
    </row>
    <row r="47" spans="2:126" ht="9" customHeight="1" x14ac:dyDescent="0.25">
      <c r="DJ47" s="252"/>
      <c r="DK47" s="252"/>
      <c r="DL47" s="252"/>
      <c r="DM47" s="252"/>
      <c r="DN47" s="252"/>
      <c r="DO47" s="252"/>
      <c r="DP47" s="252"/>
      <c r="DQ47" s="252"/>
      <c r="DR47" s="252"/>
      <c r="DS47" s="252"/>
      <c r="DT47" s="252"/>
      <c r="DU47" s="252"/>
      <c r="DV47" s="252"/>
    </row>
    <row r="48" spans="2:126" ht="9" customHeight="1" x14ac:dyDescent="0.25">
      <c r="DJ48" s="242"/>
      <c r="DK48" s="242"/>
      <c r="DL48" s="242"/>
      <c r="DM48" s="242"/>
      <c r="DN48" s="242"/>
      <c r="DO48" s="242"/>
      <c r="DP48" s="242"/>
      <c r="DQ48" s="242"/>
      <c r="DR48" s="242"/>
      <c r="DS48" s="242"/>
      <c r="DT48" s="242"/>
      <c r="DU48" s="242"/>
      <c r="DV48" s="242"/>
    </row>
  </sheetData>
  <mergeCells count="38"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" xr:uid="{A1732747-A5BC-4357-BC47-D68467E11095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2</vt:i4>
      </vt:variant>
    </vt:vector>
  </HeadingPairs>
  <TitlesOfParts>
    <vt:vector size="13" baseType="lpstr">
      <vt:lpstr>Dashboard</vt:lpstr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Desenhando o Dashboard</vt:lpstr>
      <vt:lpstr>CriteriosConsultaProduto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VINICIUS DE MARÃES SILVA</cp:lastModifiedBy>
  <cp:revision/>
  <dcterms:created xsi:type="dcterms:W3CDTF">2022-11-17T13:49:56Z</dcterms:created>
  <dcterms:modified xsi:type="dcterms:W3CDTF">2025-04-21T01:27:52Z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