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0370" windowHeight="12585"/>
  </bookViews>
  <sheets>
    <sheet name="dados calibracao" sheetId="1" r:id="rId1"/>
    <sheet name="cheque calibração" sheetId="3" r:id="rId2"/>
    <sheet name="fmig" sheetId="2" r:id="rId3"/>
    <sheet name="conversao unidades" sheetId="4" r:id="rId4"/>
  </sheets>
  <calcPr calcId="125725"/>
</workbook>
</file>

<file path=xl/calcChain.xml><?xml version="1.0" encoding="utf-8"?>
<calcChain xmlns="http://schemas.openxmlformats.org/spreadsheetml/2006/main">
  <c r="B6" i="1"/>
  <c r="B22"/>
  <c r="V5" i="3" s="1"/>
  <c r="B20" i="1"/>
  <c r="D14" i="4"/>
  <c r="D11"/>
  <c r="D12"/>
  <c r="D10"/>
  <c r="D8"/>
  <c r="D7"/>
  <c r="D6"/>
  <c r="D4"/>
  <c r="D3"/>
  <c r="D2"/>
  <c r="H19" i="3"/>
  <c r="H18"/>
  <c r="U5"/>
  <c r="W5" s="1"/>
  <c r="X5" s="1"/>
  <c r="Y5" s="1"/>
  <c r="F21"/>
  <c r="Q5"/>
  <c r="T5"/>
  <c r="P5"/>
  <c r="N5"/>
  <c r="O5"/>
  <c r="R5" s="1"/>
  <c r="H3" i="1" l="1"/>
  <c r="F4"/>
  <c r="F5"/>
  <c r="F6"/>
  <c r="F7"/>
  <c r="F3"/>
  <c r="M3" s="1"/>
  <c r="B7"/>
  <c r="H4"/>
  <c r="J4" s="1"/>
  <c r="H5"/>
  <c r="J5" s="1"/>
  <c r="H6"/>
  <c r="J6" s="1"/>
  <c r="H7"/>
  <c r="J7" s="1"/>
  <c r="J3" l="1"/>
  <c r="L5" i="3"/>
  <c r="S5" s="1"/>
  <c r="I3" i="1"/>
  <c r="I4"/>
  <c r="I5"/>
  <c r="I6"/>
  <c r="I7"/>
  <c r="K4"/>
  <c r="L4" s="1"/>
  <c r="K5"/>
  <c r="L5" s="1"/>
  <c r="K6"/>
  <c r="L6" s="1"/>
  <c r="K7"/>
  <c r="L7" s="1"/>
  <c r="L3" l="1"/>
  <c r="K3"/>
  <c r="Z5" i="3"/>
  <c r="F22"/>
</calcChain>
</file>

<file path=xl/sharedStrings.xml><?xml version="1.0" encoding="utf-8"?>
<sst xmlns="http://schemas.openxmlformats.org/spreadsheetml/2006/main" count="109" uniqueCount="71">
  <si>
    <t>Tempo</t>
  </si>
  <si>
    <t>Data</t>
  </si>
  <si>
    <t>Temperatura(°C)</t>
  </si>
  <si>
    <t>P atmosferica (hPa)</t>
  </si>
  <si>
    <t>vel</t>
  </si>
  <si>
    <t>m/s</t>
  </si>
  <si>
    <t>ACFM</t>
  </si>
  <si>
    <t>SCFM</t>
  </si>
  <si>
    <t>area (m2)</t>
  </si>
  <si>
    <t>condições padrao</t>
  </si>
  <si>
    <t>T(°C)</t>
  </si>
  <si>
    <t>p (hPa)</t>
  </si>
  <si>
    <t>mmCA</t>
  </si>
  <si>
    <t>s</t>
  </si>
  <si>
    <t>in water</t>
  </si>
  <si>
    <t>Vazão</t>
  </si>
  <si>
    <t>LAB VIEW CONST</t>
  </si>
  <si>
    <t>CM3/S</t>
  </si>
  <si>
    <t>A5 SCFM -&gt; CM3/S</t>
  </si>
  <si>
    <t>A8 LAMIN CONST</t>
  </si>
  <si>
    <t>A6 LAMIN CONST</t>
  </si>
  <si>
    <t>L/h</t>
  </si>
  <si>
    <t>cm3/s</t>
  </si>
  <si>
    <t>DP</t>
  </si>
  <si>
    <t>A7</t>
  </si>
  <si>
    <t>Dpdif</t>
  </si>
  <si>
    <t>hPa</t>
  </si>
  <si>
    <t>Tteste</t>
  </si>
  <si>
    <t>oC</t>
  </si>
  <si>
    <t>P*</t>
  </si>
  <si>
    <t>T*</t>
  </si>
  <si>
    <t>K</t>
  </si>
  <si>
    <t>Qtambor</t>
  </si>
  <si>
    <t>Check</t>
  </si>
  <si>
    <t>Dplam</t>
  </si>
  <si>
    <t>Scm3/s</t>
  </si>
  <si>
    <t>Acm3/s</t>
  </si>
  <si>
    <t>pol Agua</t>
  </si>
  <si>
    <t>Qlam</t>
  </si>
  <si>
    <t>Erro</t>
  </si>
  <si>
    <t>%</t>
  </si>
  <si>
    <t>fmig</t>
  </si>
  <si>
    <t>(---)</t>
  </si>
  <si>
    <t>oF</t>
  </si>
  <si>
    <t>Dados Experimentais</t>
  </si>
  <si>
    <t>Condições Standard</t>
  </si>
  <si>
    <t>Conversão unidades</t>
  </si>
  <si>
    <t>Vazão Elemento Laminar</t>
  </si>
  <si>
    <t>veja pasta fmig</t>
  </si>
  <si>
    <t>A6</t>
  </si>
  <si>
    <t>A8</t>
  </si>
  <si>
    <t>Const Laminador</t>
  </si>
  <si>
    <t>x^2</t>
  </si>
  <si>
    <t>x</t>
  </si>
  <si>
    <t>area (cm2)</t>
  </si>
  <si>
    <t>CF</t>
  </si>
  <si>
    <t>=</t>
  </si>
  <si>
    <t>M3</t>
  </si>
  <si>
    <t>L</t>
  </si>
  <si>
    <t>CM3</t>
  </si>
  <si>
    <t>L/H</t>
  </si>
  <si>
    <t>CFH</t>
  </si>
  <si>
    <t>CFM</t>
  </si>
  <si>
    <t>S CM3/S</t>
  </si>
  <si>
    <t>P abs El. Laminar</t>
  </si>
  <si>
    <t>P atm cepagri</t>
  </si>
  <si>
    <t>inserir dados somentes nas células abaixo</t>
  </si>
  <si>
    <t>Delta P Elemento Laminar</t>
  </si>
  <si>
    <t>Teste</t>
  </si>
  <si>
    <t>#</t>
  </si>
  <si>
    <t>dia. interno (mm)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</si>
</sst>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#.##0.0"/>
    <numFmt numFmtId="167" formatCode="0.0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6" fontId="0" fillId="0" borderId="0" xfId="0" applyNumberFormat="1"/>
    <xf numFmtId="1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9" fontId="0" fillId="5" borderId="0" xfId="1" applyFont="1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167" fontId="0" fillId="5" borderId="7" xfId="0" applyNumberFormat="1" applyFill="1" applyBorder="1" applyAlignment="1">
      <alignment horizontal="center"/>
    </xf>
    <xf numFmtId="0" fontId="0" fillId="5" borderId="3" xfId="0" applyFill="1" applyBorder="1"/>
    <xf numFmtId="167" fontId="0" fillId="5" borderId="6" xfId="0" applyNumberFormat="1" applyFill="1" applyBorder="1" applyAlignment="1">
      <alignment horizontal="center"/>
    </xf>
    <xf numFmtId="1" fontId="0" fillId="5" borderId="7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wer"/>
          </c:trendline>
          <c:trendline>
            <c:trendlineType val="poly"/>
            <c:order val="2"/>
            <c:forward val="3"/>
            <c:backward val="12"/>
            <c:intercept val="0"/>
            <c:dispRSqr val="1"/>
            <c:dispEq val="1"/>
            <c:trendlineLbl>
              <c:layout>
                <c:manualLayout>
                  <c:x val="0.13333003637021321"/>
                  <c:y val="0.44635899219222236"/>
                </c:manualLayout>
              </c:layout>
              <c:numFmt formatCode="General" sourceLinked="0"/>
            </c:trendlineLbl>
          </c:trendline>
          <c:xVal>
            <c:numRef>
              <c:f>'dados calibracao'!$E$3:$E$8</c:f>
              <c:numCache>
                <c:formatCode>General</c:formatCode>
                <c:ptCount val="6"/>
                <c:pt idx="0">
                  <c:v>20.32</c:v>
                </c:pt>
                <c:pt idx="1">
                  <c:v>54.8</c:v>
                </c:pt>
                <c:pt idx="2">
                  <c:v>95.9</c:v>
                </c:pt>
                <c:pt idx="3">
                  <c:v>72</c:v>
                </c:pt>
                <c:pt idx="4">
                  <c:v>116.8</c:v>
                </c:pt>
              </c:numCache>
            </c:numRef>
          </c:xVal>
          <c:yVal>
            <c:numRef>
              <c:f>'dados calibracao'!$H$3:$H$8</c:f>
              <c:numCache>
                <c:formatCode>0</c:formatCode>
                <c:ptCount val="6"/>
                <c:pt idx="0" formatCode="0.00">
                  <c:v>6185.567010309278</c:v>
                </c:pt>
                <c:pt idx="1">
                  <c:v>16666.666666666668</c:v>
                </c:pt>
                <c:pt idx="2">
                  <c:v>29032.258064516129</c:v>
                </c:pt>
                <c:pt idx="3">
                  <c:v>21951.219512195123</c:v>
                </c:pt>
                <c:pt idx="4">
                  <c:v>35294.117647058825</c:v>
                </c:pt>
              </c:numCache>
            </c:numRef>
          </c:yVal>
        </c:ser>
        <c:axId val="102042240"/>
        <c:axId val="112371200"/>
      </c:scatterChart>
      <c:valAx>
        <c:axId val="1020422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 P (mmH2O)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12371200"/>
        <c:crosses val="autoZero"/>
        <c:crossBetween val="midCat"/>
      </c:valAx>
      <c:valAx>
        <c:axId val="112371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Vazão (L/h)</a:t>
                </a:r>
              </a:p>
            </c:rich>
          </c:tx>
          <c:layout/>
        </c:title>
        <c:numFmt formatCode="0.00" sourceLinked="1"/>
        <c:minorTickMark val="out"/>
        <c:tickLblPos val="nextTo"/>
        <c:crossAx val="102042240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wer"/>
          </c:trendline>
          <c:trendline>
            <c:trendlineType val="poly"/>
            <c:order val="2"/>
            <c:forward val="3"/>
            <c:backward val="12"/>
            <c:intercept val="0"/>
            <c:dispRSqr val="1"/>
            <c:dispEq val="1"/>
            <c:trendlineLbl>
              <c:layout>
                <c:manualLayout>
                  <c:x val="4.0833523315153532E-2"/>
                  <c:y val="0.45012336785977491"/>
                </c:manualLayout>
              </c:layout>
              <c:numFmt formatCode="General" sourceLinked="0"/>
            </c:trendlineLbl>
          </c:trendline>
          <c:xVal>
            <c:numRef>
              <c:f>'dados calibracao'!$F$3:$F$8</c:f>
              <c:numCache>
                <c:formatCode>0.00</c:formatCode>
                <c:ptCount val="6"/>
                <c:pt idx="0">
                  <c:v>0.8</c:v>
                </c:pt>
                <c:pt idx="1">
                  <c:v>2.1574803149606301</c:v>
                </c:pt>
                <c:pt idx="2">
                  <c:v>3.7755905511811028</c:v>
                </c:pt>
                <c:pt idx="3">
                  <c:v>2.8346456692913389</c:v>
                </c:pt>
                <c:pt idx="4">
                  <c:v>4.5984251968503935</c:v>
                </c:pt>
              </c:numCache>
            </c:numRef>
          </c:xVal>
          <c:yVal>
            <c:numRef>
              <c:f>'dados calibracao'!$J$3:$J$8</c:f>
              <c:numCache>
                <c:formatCode>0.0</c:formatCode>
                <c:ptCount val="6"/>
                <c:pt idx="0">
                  <c:v>3.6406872908751118</c:v>
                </c:pt>
                <c:pt idx="1">
                  <c:v>9.8096296448579423</c:v>
                </c:pt>
                <c:pt idx="2">
                  <c:v>17.087741962010607</c:v>
                </c:pt>
                <c:pt idx="3">
                  <c:v>12.920000020056799</c:v>
                </c:pt>
                <c:pt idx="4">
                  <c:v>20.773333365581525</c:v>
                </c:pt>
              </c:numCache>
            </c:numRef>
          </c:yVal>
        </c:ser>
        <c:axId val="40096512"/>
        <c:axId val="40098432"/>
      </c:scatterChart>
      <c:valAx>
        <c:axId val="40096512"/>
        <c:scaling>
          <c:orientation val="minMax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 H2O)</a:t>
                </a:r>
              </a:p>
            </c:rich>
          </c:tx>
          <c:layout/>
        </c:title>
        <c:numFmt formatCode="0.00" sourceLinked="1"/>
        <c:minorTickMark val="out"/>
        <c:tickLblPos val="nextTo"/>
        <c:crossAx val="40098432"/>
        <c:crosses val="autoZero"/>
        <c:crossBetween val="midCat"/>
      </c:valAx>
      <c:valAx>
        <c:axId val="4009843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ACFM</a:t>
                </a:r>
              </a:p>
            </c:rich>
          </c:tx>
          <c:layout/>
        </c:title>
        <c:numFmt formatCode="0" sourceLinked="0"/>
        <c:minorTickMark val="out"/>
        <c:tickLblPos val="nextTo"/>
        <c:crossAx val="40096512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wer"/>
          </c:trendline>
          <c:trendline>
            <c:trendlineType val="poly"/>
            <c:order val="2"/>
            <c:forward val="3"/>
            <c:backward val="12"/>
            <c:intercept val="0"/>
            <c:dispRSqr val="1"/>
            <c:dispEq val="1"/>
            <c:trendlineLbl>
              <c:layout>
                <c:manualLayout>
                  <c:x val="4.9366629839421729E-2"/>
                  <c:y val="0.39653855963929313"/>
                </c:manualLayout>
              </c:layout>
              <c:numFmt formatCode="General" sourceLinked="0"/>
            </c:trendlineLbl>
          </c:trendline>
          <c:xVal>
            <c:numRef>
              <c:f>'dados calibracao'!$F$3:$F$8</c:f>
              <c:numCache>
                <c:formatCode>0.00</c:formatCode>
                <c:ptCount val="6"/>
                <c:pt idx="0">
                  <c:v>0.8</c:v>
                </c:pt>
                <c:pt idx="1">
                  <c:v>2.1574803149606301</c:v>
                </c:pt>
                <c:pt idx="2">
                  <c:v>3.7755905511811028</c:v>
                </c:pt>
                <c:pt idx="3">
                  <c:v>2.8346456692913389</c:v>
                </c:pt>
                <c:pt idx="4">
                  <c:v>4.5984251968503935</c:v>
                </c:pt>
              </c:numCache>
            </c:numRef>
          </c:xVal>
          <c:yVal>
            <c:numRef>
              <c:f>'dados calibracao'!$K$3:$K$8</c:f>
              <c:numCache>
                <c:formatCode>0.0</c:formatCode>
                <c:ptCount val="6"/>
                <c:pt idx="0" formatCode="0.000">
                  <c:v>3.2950455182107952</c:v>
                </c:pt>
                <c:pt idx="1">
                  <c:v>8.8783170907346438</c:v>
                </c:pt>
                <c:pt idx="2">
                  <c:v>15.465455577408733</c:v>
                </c:pt>
                <c:pt idx="3">
                  <c:v>11.693393241455382</c:v>
                </c:pt>
                <c:pt idx="4">
                  <c:v>18.801142074496894</c:v>
                </c:pt>
              </c:numCache>
            </c:numRef>
          </c:yVal>
        </c:ser>
        <c:axId val="40287616"/>
        <c:axId val="40297984"/>
      </c:scatterChart>
      <c:valAx>
        <c:axId val="40287616"/>
        <c:scaling>
          <c:orientation val="minMax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 H2O)</a:t>
                </a:r>
              </a:p>
            </c:rich>
          </c:tx>
          <c:layout/>
        </c:title>
        <c:numFmt formatCode="0.00" sourceLinked="1"/>
        <c:minorTickMark val="out"/>
        <c:tickLblPos val="nextTo"/>
        <c:crossAx val="40297984"/>
        <c:crosses val="autoZero"/>
        <c:crossBetween val="midCat"/>
      </c:valAx>
      <c:valAx>
        <c:axId val="4029798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SCFM</a:t>
                </a:r>
              </a:p>
            </c:rich>
          </c:tx>
          <c:layout/>
        </c:title>
        <c:numFmt formatCode="0" sourceLinked="0"/>
        <c:minorTickMark val="out"/>
        <c:tickLblPos val="nextTo"/>
        <c:crossAx val="40287616"/>
        <c:crosses val="autoZero"/>
        <c:crossBetween val="midCat"/>
      </c:valAx>
      <c:spPr>
        <a:noFill/>
        <a:ln w="25400">
          <a:noFill/>
        </a:ln>
      </c:spPr>
    </c:plotArea>
    <c:plotVisOnly val="1"/>
  </c:chart>
  <c:spPr>
    <a:solidFill>
      <a:schemeClr val="accent2"/>
    </a:solidFill>
  </c:spPr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intercept val="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'dados calibracao'!$E$3:$E$8</c:f>
              <c:numCache>
                <c:formatCode>General</c:formatCode>
                <c:ptCount val="6"/>
                <c:pt idx="0">
                  <c:v>20.32</c:v>
                </c:pt>
                <c:pt idx="1">
                  <c:v>54.8</c:v>
                </c:pt>
                <c:pt idx="2">
                  <c:v>95.9</c:v>
                </c:pt>
                <c:pt idx="3">
                  <c:v>72</c:v>
                </c:pt>
                <c:pt idx="4">
                  <c:v>116.8</c:v>
                </c:pt>
              </c:numCache>
            </c:numRef>
          </c:xVal>
          <c:yVal>
            <c:numRef>
              <c:f>'dados calibracao'!$L$3:$L$8</c:f>
              <c:numCache>
                <c:formatCode>0</c:formatCode>
                <c:ptCount val="6"/>
                <c:pt idx="0">
                  <c:v>1555.0883075472041</c:v>
                </c:pt>
                <c:pt idx="1">
                  <c:v>4190.0990508910782</c:v>
                </c:pt>
                <c:pt idx="2">
                  <c:v>7298.8822176812328</c:v>
                </c:pt>
                <c:pt idx="3">
                  <c:v>5518.6670426370283</c:v>
                </c:pt>
                <c:pt idx="4">
                  <c:v>8873.1509312987546</c:v>
                </c:pt>
              </c:numCache>
            </c:numRef>
          </c:yVal>
        </c:ser>
        <c:axId val="85076608"/>
        <c:axId val="85082880"/>
      </c:scatterChart>
      <c:valAx>
        <c:axId val="85076608"/>
        <c:scaling>
          <c:orientation val="minMax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 H2O)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5082880"/>
        <c:crosses val="autoZero"/>
        <c:crossBetween val="midCat"/>
      </c:valAx>
      <c:valAx>
        <c:axId val="8508288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Scm3/s</a:t>
                </a:r>
              </a:p>
            </c:rich>
          </c:tx>
          <c:layout/>
        </c:title>
        <c:numFmt formatCode="0" sourceLinked="0"/>
        <c:minorTickMark val="out"/>
        <c:tickLblPos val="nextTo"/>
        <c:crossAx val="85076608"/>
        <c:crosses val="autoZero"/>
        <c:crossBetween val="midCat"/>
      </c:valAx>
      <c:spPr>
        <a:noFill/>
        <a:ln w="25400">
          <a:noFill/>
        </a:ln>
      </c:spPr>
    </c:plotArea>
    <c:plotVisOnly val="1"/>
  </c:chart>
  <c:spPr>
    <a:solidFill>
      <a:srgbClr val="00B0F0"/>
    </a:solidFill>
  </c:spPr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716547</xdr:colOff>
      <xdr:row>0</xdr:row>
      <xdr:rowOff>152401</xdr:rowOff>
    </xdr:from>
    <xdr:to>
      <xdr:col>21</xdr:col>
      <xdr:colOff>61812</xdr:colOff>
      <xdr:row>12</xdr:row>
      <xdr:rowOff>175848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324567</xdr:colOff>
      <xdr:row>0</xdr:row>
      <xdr:rowOff>159327</xdr:rowOff>
    </xdr:from>
    <xdr:to>
      <xdr:col>27</xdr:col>
      <xdr:colOff>290944</xdr:colOff>
      <xdr:row>13</xdr:row>
      <xdr:rowOff>8526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658089</xdr:colOff>
      <xdr:row>13</xdr:row>
      <xdr:rowOff>124690</xdr:rowOff>
    </xdr:from>
    <xdr:to>
      <xdr:col>21</xdr:col>
      <xdr:colOff>16889</xdr:colOff>
      <xdr:row>25</xdr:row>
      <xdr:rowOff>165721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132470</xdr:colOff>
      <xdr:row>19</xdr:row>
      <xdr:rowOff>41031</xdr:rowOff>
    </xdr:from>
    <xdr:to>
      <xdr:col>13</xdr:col>
      <xdr:colOff>304287</xdr:colOff>
      <xdr:row>43</xdr:row>
      <xdr:rowOff>152400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78855" y="3493477"/>
          <a:ext cx="5812748" cy="4472354"/>
        </a:xfrm>
        <a:prstGeom prst="rect">
          <a:avLst/>
        </a:prstGeom>
        <a:noFill/>
      </xdr:spPr>
    </xdr:pic>
    <xdr:clientData/>
  </xdr:twoCellAnchor>
  <xdr:twoCellAnchor>
    <xdr:from>
      <xdr:col>5</xdr:col>
      <xdr:colOff>451338</xdr:colOff>
      <xdr:row>18</xdr:row>
      <xdr:rowOff>23447</xdr:rowOff>
    </xdr:from>
    <xdr:to>
      <xdr:col>12</xdr:col>
      <xdr:colOff>561109</xdr:colOff>
      <xdr:row>20</xdr:row>
      <xdr:rowOff>46892</xdr:rowOff>
    </xdr:to>
    <xdr:sp macro="" textlink="">
      <xdr:nvSpPr>
        <xdr:cNvPr id="6" name="CaixaDeTexto 5"/>
        <xdr:cNvSpPr txBox="1"/>
      </xdr:nvSpPr>
      <xdr:spPr>
        <a:xfrm>
          <a:off x="3229174" y="3265411"/>
          <a:ext cx="3843571" cy="3836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Q[cm3/s]={A5 </a:t>
          </a:r>
          <a:r>
            <a:rPr lang="en-US" sz="1100" baseline="0"/>
            <a:t> x </a:t>
          </a:r>
          <a:r>
            <a:rPr lang="en-US" sz="1100"/>
            <a:t>[(A6</a:t>
          </a:r>
          <a:r>
            <a:rPr lang="en-US" sz="1100" baseline="0"/>
            <a:t> x </a:t>
          </a:r>
          <a:r>
            <a:rPr lang="en-US" sz="1100"/>
            <a:t>(DPA/A7)</a:t>
          </a:r>
          <a:r>
            <a:rPr lang="en-US" sz="1100" baseline="0"/>
            <a:t> - A8 x (DPA/A7)^2]} x fmig</a:t>
          </a:r>
          <a:endParaRPr lang="en-US" sz="1100"/>
        </a:p>
      </xdr:txBody>
    </xdr:sp>
    <xdr:clientData/>
  </xdr:twoCellAnchor>
  <xdr:twoCellAnchor>
    <xdr:from>
      <xdr:col>0</xdr:col>
      <xdr:colOff>34634</xdr:colOff>
      <xdr:row>10</xdr:row>
      <xdr:rowOff>103909</xdr:rowOff>
    </xdr:from>
    <xdr:to>
      <xdr:col>11</xdr:col>
      <xdr:colOff>468389</xdr:colOff>
      <xdr:row>17</xdr:row>
      <xdr:rowOff>98049</xdr:rowOff>
    </xdr:to>
    <xdr:sp macro="" textlink="">
      <xdr:nvSpPr>
        <xdr:cNvPr id="7" name="CaixaDeTexto 6"/>
        <xdr:cNvSpPr txBox="1"/>
      </xdr:nvSpPr>
      <xdr:spPr>
        <a:xfrm>
          <a:off x="34634" y="2306782"/>
          <a:ext cx="7167064" cy="12549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comentarios:</a:t>
          </a:r>
        </a:p>
        <a:p>
          <a:r>
            <a:rPr lang="en-US" sz="1100"/>
            <a:t>(1)</a:t>
          </a:r>
          <a:r>
            <a:rPr lang="en-US" sz="1100" baseline="0"/>
            <a:t> </a:t>
          </a:r>
          <a:r>
            <a:rPr lang="en-US" sz="1100"/>
            <a:t>O</a:t>
          </a:r>
          <a:r>
            <a:rPr lang="en-US" sz="1100" baseline="0"/>
            <a:t> lab view faz uma medida da vazao nas condicoes standard (21.1C &amp; 101,3 kPa), a equacao fornece o volume nas condicoes standard em cm3/s</a:t>
          </a:r>
        </a:p>
        <a:p>
          <a:endParaRPr lang="en-US" sz="1100" baseline="0"/>
        </a:p>
        <a:p>
          <a:r>
            <a:rPr lang="en-US" sz="1100" baseline="0"/>
            <a:t>(2) a equacao que entra no lab view esta parametrizada para SCFM x inches water. O valor SCFM e eh convertida em cm3/s com a constante A5, DP entra em mmCA e a constante A7 converte para inches of water.</a:t>
          </a:r>
          <a:endParaRPr lang="en-US" sz="1100"/>
        </a:p>
      </xdr:txBody>
    </xdr:sp>
    <xdr:clientData/>
  </xdr:twoCellAnchor>
  <xdr:twoCellAnchor>
    <xdr:from>
      <xdr:col>21</xdr:col>
      <xdr:colOff>308530</xdr:colOff>
      <xdr:row>13</xdr:row>
      <xdr:rowOff>77265</xdr:rowOff>
    </xdr:from>
    <xdr:to>
      <xdr:col>27</xdr:col>
      <xdr:colOff>318654</xdr:colOff>
      <xdr:row>26</xdr:row>
      <xdr:rowOff>130605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436420</xdr:colOff>
      <xdr:row>10</xdr:row>
      <xdr:rowOff>110836</xdr:rowOff>
    </xdr:from>
    <xdr:to>
      <xdr:col>15</xdr:col>
      <xdr:colOff>277092</xdr:colOff>
      <xdr:row>14</xdr:row>
      <xdr:rowOff>27709</xdr:rowOff>
    </xdr:to>
    <xdr:sp macro="" textlink="">
      <xdr:nvSpPr>
        <xdr:cNvPr id="9" name="CaixaDeTexto 8"/>
        <xdr:cNvSpPr txBox="1"/>
      </xdr:nvSpPr>
      <xdr:spPr>
        <a:xfrm>
          <a:off x="7703129" y="2313709"/>
          <a:ext cx="1669472" cy="637309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Grafico utilizado para tirar constantes do laminador</a:t>
          </a:r>
        </a:p>
      </xdr:txBody>
    </xdr:sp>
    <xdr:clientData/>
  </xdr:twoCellAnchor>
  <xdr:twoCellAnchor>
    <xdr:from>
      <xdr:col>14</xdr:col>
      <xdr:colOff>51956</xdr:colOff>
      <xdr:row>14</xdr:row>
      <xdr:rowOff>27709</xdr:rowOff>
    </xdr:from>
    <xdr:to>
      <xdr:col>15</xdr:col>
      <xdr:colOff>623455</xdr:colOff>
      <xdr:row>17</xdr:row>
      <xdr:rowOff>117764</xdr:rowOff>
    </xdr:to>
    <xdr:cxnSp macro="">
      <xdr:nvCxnSpPr>
        <xdr:cNvPr id="11" name="Conector de seta reta 10"/>
        <xdr:cNvCxnSpPr>
          <a:stCxn id="9" idx="2"/>
        </xdr:cNvCxnSpPr>
      </xdr:nvCxnSpPr>
      <xdr:spPr>
        <a:xfrm>
          <a:off x="8537865" y="2951018"/>
          <a:ext cx="1181099" cy="630382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297873</xdr:colOff>
      <xdr:row>14</xdr:row>
      <xdr:rowOff>27709</xdr:rowOff>
    </xdr:from>
    <xdr:to>
      <xdr:col>14</xdr:col>
      <xdr:colOff>51956</xdr:colOff>
      <xdr:row>18</xdr:row>
      <xdr:rowOff>138546</xdr:rowOff>
    </xdr:to>
    <xdr:cxnSp macro="">
      <xdr:nvCxnSpPr>
        <xdr:cNvPr id="13" name="Conector de seta reta 12"/>
        <xdr:cNvCxnSpPr>
          <a:stCxn id="9" idx="2"/>
        </xdr:cNvCxnSpPr>
      </xdr:nvCxnSpPr>
      <xdr:spPr>
        <a:xfrm flipH="1">
          <a:off x="7564582" y="2951018"/>
          <a:ext cx="973283" cy="831273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41564</xdr:colOff>
      <xdr:row>14</xdr:row>
      <xdr:rowOff>27709</xdr:rowOff>
    </xdr:from>
    <xdr:to>
      <xdr:col>14</xdr:col>
      <xdr:colOff>51956</xdr:colOff>
      <xdr:row>20</xdr:row>
      <xdr:rowOff>69272</xdr:rowOff>
    </xdr:to>
    <xdr:cxnSp macro="">
      <xdr:nvCxnSpPr>
        <xdr:cNvPr id="15" name="Conector de seta reta 14"/>
        <xdr:cNvCxnSpPr>
          <a:stCxn id="9" idx="2"/>
        </xdr:cNvCxnSpPr>
      </xdr:nvCxnSpPr>
      <xdr:spPr>
        <a:xfrm flipH="1">
          <a:off x="2105891" y="2951018"/>
          <a:ext cx="6431974" cy="1122218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45720</xdr:rowOff>
    </xdr:from>
    <xdr:to>
      <xdr:col>4</xdr:col>
      <xdr:colOff>502920</xdr:colOff>
      <xdr:row>2</xdr:row>
      <xdr:rowOff>129540</xdr:rowOff>
    </xdr:to>
    <xdr:sp macro="" textlink="">
      <xdr:nvSpPr>
        <xdr:cNvPr id="2" name="CaixaDeTexto 1"/>
        <xdr:cNvSpPr txBox="1"/>
      </xdr:nvSpPr>
      <xdr:spPr>
        <a:xfrm>
          <a:off x="144780" y="45720"/>
          <a:ext cx="279654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Esta planilha mostra</a:t>
          </a:r>
          <a:r>
            <a:rPr lang="en-US" sz="1100" baseline="0"/>
            <a:t> os passos para checar  a calibração do elemento de fluxo laminar</a:t>
          </a:r>
          <a:endParaRPr lang="en-US" sz="1100"/>
        </a:p>
      </xdr:txBody>
    </xdr:sp>
    <xdr:clientData/>
  </xdr:twoCellAnchor>
  <xdr:twoCellAnchor>
    <xdr:from>
      <xdr:col>0</xdr:col>
      <xdr:colOff>251460</xdr:colOff>
      <xdr:row>4</xdr:row>
      <xdr:rowOff>106680</xdr:rowOff>
    </xdr:from>
    <xdr:to>
      <xdr:col>5</xdr:col>
      <xdr:colOff>464820</xdr:colOff>
      <xdr:row>19</xdr:row>
      <xdr:rowOff>76200</xdr:rowOff>
    </xdr:to>
    <xdr:sp macro="" textlink="">
      <xdr:nvSpPr>
        <xdr:cNvPr id="3" name="CaixaDeTexto 2"/>
        <xdr:cNvSpPr txBox="1"/>
      </xdr:nvSpPr>
      <xdr:spPr>
        <a:xfrm>
          <a:off x="251460" y="838200"/>
          <a:ext cx="3261360" cy="2712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1) Estabeleça uma vazão de ar passando pelo medidor e simultaneamente pelo tambor rotativo</a:t>
          </a:r>
          <a:r>
            <a:rPr lang="en-US" sz="1100" baseline="0"/>
            <a:t> (nosso padrão). Depois que abriu a válvula de ar aguarde uns 5 minutos para estabelecer um regime permanente.</a:t>
          </a:r>
        </a:p>
        <a:p>
          <a:r>
            <a:rPr lang="en-US" sz="1100" baseline="0"/>
            <a:t> </a:t>
          </a:r>
        </a:p>
        <a:p>
          <a:r>
            <a:rPr lang="en-US" sz="1100" baseline="0"/>
            <a:t>2) Leia a pressão absoluta a montante do medidor e o diferencial de pressão no medidor: DPAbs  e DPdif</a:t>
          </a:r>
        </a:p>
        <a:p>
          <a:endParaRPr lang="en-US" sz="1100" baseline="0"/>
        </a:p>
        <a:p>
          <a:r>
            <a:rPr lang="en-US" sz="1100" baseline="0"/>
            <a:t>3) Faça uma leitura da vazão no tambor, Qtambor (L/h)</a:t>
          </a:r>
        </a:p>
        <a:p>
          <a:endParaRPr lang="en-US" sz="1100" baseline="0"/>
        </a:p>
        <a:p>
          <a:r>
            <a:rPr lang="en-US" sz="1100" baseline="0"/>
            <a:t>4) consulte o cepagri e obtenha a pressão atmosférica do teste. Obenha também a temperatura do ar do teste, Patm e Tteste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30480</xdr:rowOff>
    </xdr:from>
    <xdr:to>
      <xdr:col>18</xdr:col>
      <xdr:colOff>251460</xdr:colOff>
      <xdr:row>29</xdr:row>
      <xdr:rowOff>30480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00" y="213360"/>
          <a:ext cx="8176260" cy="51206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5"/>
  <sheetViews>
    <sheetView tabSelected="1" zoomScale="110" zoomScaleNormal="110" workbookViewId="0">
      <selection activeCell="A27" sqref="A27"/>
    </sheetView>
  </sheetViews>
  <sheetFormatPr defaultRowHeight="15"/>
  <cols>
    <col min="1" max="1" width="18" customWidth="1"/>
    <col min="2" max="2" width="12.140625" bestFit="1" customWidth="1"/>
    <col min="3" max="3" width="2.7109375" customWidth="1"/>
    <col min="4" max="4" width="6.7109375" customWidth="1"/>
    <col min="5" max="5" width="9.5703125" customWidth="1"/>
    <col min="6" max="6" width="10.28515625" customWidth="1"/>
    <col min="7" max="11" width="7.7109375" customWidth="1"/>
    <col min="12" max="12" width="7.7109375" style="1" customWidth="1"/>
    <col min="13" max="13" width="8.85546875" style="1"/>
    <col min="16" max="16" width="10.5703125" bestFit="1" customWidth="1"/>
  </cols>
  <sheetData>
    <row r="1" spans="1:15" ht="45.6" customHeight="1">
      <c r="A1" s="49" t="s">
        <v>1</v>
      </c>
      <c r="B1" s="50">
        <v>41505</v>
      </c>
      <c r="C1" s="50"/>
      <c r="D1" s="50" t="s">
        <v>68</v>
      </c>
      <c r="E1" s="51" t="s">
        <v>67</v>
      </c>
      <c r="F1" s="51" t="s">
        <v>67</v>
      </c>
      <c r="G1" s="49" t="s">
        <v>0</v>
      </c>
      <c r="H1" s="49" t="s">
        <v>15</v>
      </c>
      <c r="I1" s="49" t="s">
        <v>4</v>
      </c>
      <c r="J1" s="49" t="s">
        <v>15</v>
      </c>
      <c r="K1" s="49" t="s">
        <v>15</v>
      </c>
      <c r="L1" s="49"/>
      <c r="M1" s="2"/>
    </row>
    <row r="2" spans="1:15">
      <c r="A2" s="7"/>
      <c r="B2" s="7"/>
      <c r="C2" s="7"/>
      <c r="D2" s="2" t="s">
        <v>69</v>
      </c>
      <c r="E2" s="2" t="s">
        <v>12</v>
      </c>
      <c r="F2" s="2" t="s">
        <v>14</v>
      </c>
      <c r="G2" s="2" t="s">
        <v>13</v>
      </c>
      <c r="H2" s="2" t="s">
        <v>21</v>
      </c>
      <c r="I2" s="2" t="s">
        <v>5</v>
      </c>
      <c r="J2" s="2" t="s">
        <v>6</v>
      </c>
      <c r="K2" s="2" t="s">
        <v>7</v>
      </c>
      <c r="L2" s="2" t="s">
        <v>63</v>
      </c>
      <c r="M2" s="2"/>
    </row>
    <row r="3" spans="1:15">
      <c r="A3" s="2" t="s">
        <v>2</v>
      </c>
      <c r="B3" s="2">
        <v>29.5</v>
      </c>
      <c r="C3" s="2"/>
      <c r="D3" s="2">
        <v>1</v>
      </c>
      <c r="E3" s="2">
        <v>20.32</v>
      </c>
      <c r="F3" s="5">
        <f>E3/25.4</f>
        <v>0.8</v>
      </c>
      <c r="G3" s="2">
        <v>29.1</v>
      </c>
      <c r="H3" s="5">
        <f>((50/G3)*3600)</f>
        <v>6185.567010309278</v>
      </c>
      <c r="I3" s="6">
        <f>(H3*0.001/3600)/$B$6</f>
        <v>3.236237887958179</v>
      </c>
      <c r="J3" s="6">
        <f>'conversao unidades'!$D$7*H3/60</f>
        <v>3.6406872908751118</v>
      </c>
      <c r="K3" s="48">
        <f>J3*($B$4/$B$9)*($B$10+273.15)/($B$3+273.15)</f>
        <v>3.2950455182107952</v>
      </c>
      <c r="L3" s="4">
        <f>K3*'conversao unidades'!$D$4/60</f>
        <v>1555.0883075472041</v>
      </c>
      <c r="M3" s="48">
        <f>$B$21*F3^2+B22*F3</f>
        <v>3.3125120000000003</v>
      </c>
    </row>
    <row r="4" spans="1:15">
      <c r="A4" s="2" t="s">
        <v>3</v>
      </c>
      <c r="B4" s="2">
        <v>943</v>
      </c>
      <c r="C4" s="2"/>
      <c r="D4" s="2">
        <v>2</v>
      </c>
      <c r="E4" s="2">
        <v>54.8</v>
      </c>
      <c r="F4" s="5">
        <f t="shared" ref="F4:F7" si="0">E4/25.4</f>
        <v>2.1574803149606301</v>
      </c>
      <c r="G4" s="2">
        <v>10.8</v>
      </c>
      <c r="H4" s="4">
        <f t="shared" ref="H4:H7" si="1">((50/G4)*3600)</f>
        <v>16666.666666666668</v>
      </c>
      <c r="I4" s="6">
        <f t="shared" ref="I4:I7" si="2">(H4*0.001/3600)/$B$6</f>
        <v>8.7198631981095396</v>
      </c>
      <c r="J4" s="6">
        <f>'conversao unidades'!$D$7*H4/60</f>
        <v>9.8096296448579423</v>
      </c>
      <c r="K4" s="6">
        <f>J4*($B$4/$B$9)*($B$10+273.15)/($B$3+273.15)</f>
        <v>8.8783170907346438</v>
      </c>
      <c r="L4" s="4">
        <f>K4*'conversao unidades'!$D$4/60</f>
        <v>4190.0990508910782</v>
      </c>
      <c r="M4" s="6"/>
    </row>
    <row r="5" spans="1:15">
      <c r="A5" s="2" t="s">
        <v>70</v>
      </c>
      <c r="B5" s="2">
        <v>26</v>
      </c>
      <c r="C5" s="2"/>
      <c r="D5" s="2">
        <v>3</v>
      </c>
      <c r="E5" s="2">
        <v>95.9</v>
      </c>
      <c r="F5" s="5">
        <f t="shared" si="0"/>
        <v>3.7755905511811028</v>
      </c>
      <c r="G5" s="2">
        <v>6.2</v>
      </c>
      <c r="H5" s="4">
        <f t="shared" si="1"/>
        <v>29032.258064516129</v>
      </c>
      <c r="I5" s="6">
        <f t="shared" si="2"/>
        <v>15.189439119287584</v>
      </c>
      <c r="J5" s="6">
        <f>'conversao unidades'!$D$7*H5/60</f>
        <v>17.087741962010607</v>
      </c>
      <c r="K5" s="6">
        <f>J5*($B$4/$B$9)*($B$10+273.15)/($B$3+273.15)</f>
        <v>15.465455577408733</v>
      </c>
      <c r="L5" s="4">
        <f>K5*'conversao unidades'!$D$4/60</f>
        <v>7298.8822176812328</v>
      </c>
      <c r="M5" s="6"/>
    </row>
    <row r="6" spans="1:15">
      <c r="A6" s="2" t="s">
        <v>8</v>
      </c>
      <c r="B6" s="18">
        <f>PI()*(B5*0.001)^2/4</f>
        <v>5.3092915845667516E-4</v>
      </c>
      <c r="C6" s="2"/>
      <c r="D6" s="2">
        <v>4</v>
      </c>
      <c r="E6" s="2">
        <v>72</v>
      </c>
      <c r="F6" s="5">
        <f t="shared" si="0"/>
        <v>2.8346456692913389</v>
      </c>
      <c r="G6" s="2">
        <v>8.1999999999999993</v>
      </c>
      <c r="H6" s="4">
        <f t="shared" si="1"/>
        <v>21951.219512195123</v>
      </c>
      <c r="I6" s="6">
        <f t="shared" si="2"/>
        <v>11.484697870680856</v>
      </c>
      <c r="J6" s="6">
        <f>'conversao unidades'!$D$7*H6/60</f>
        <v>12.920000020056799</v>
      </c>
      <c r="K6" s="6">
        <f>J6*($B$4/$B$9)*($B$10+273.15)/($B$3+273.15)</f>
        <v>11.693393241455382</v>
      </c>
      <c r="L6" s="4">
        <f>K6*'conversao unidades'!$D$4/60</f>
        <v>5518.6670426370283</v>
      </c>
      <c r="M6" s="6"/>
    </row>
    <row r="7" spans="1:15">
      <c r="A7" s="2" t="s">
        <v>54</v>
      </c>
      <c r="B7" s="5">
        <f>B6*10^4</f>
        <v>5.3092915845667514</v>
      </c>
      <c r="C7" s="2"/>
      <c r="D7" s="2">
        <v>5</v>
      </c>
      <c r="E7" s="2">
        <v>116.8</v>
      </c>
      <c r="F7" s="5">
        <f t="shared" si="0"/>
        <v>4.5984251968503935</v>
      </c>
      <c r="G7" s="2">
        <v>5.0999999999999996</v>
      </c>
      <c r="H7" s="4">
        <f t="shared" si="1"/>
        <v>35294.117647058825</v>
      </c>
      <c r="I7" s="6">
        <f t="shared" si="2"/>
        <v>18.465592654820199</v>
      </c>
      <c r="J7" s="6">
        <f>'conversao unidades'!$D$7*H7/60</f>
        <v>20.773333365581525</v>
      </c>
      <c r="K7" s="6">
        <f>J7*($B$4/$B$9)*($B$10+273.15)/($B$3+273.15)</f>
        <v>18.801142074496894</v>
      </c>
      <c r="L7" s="4">
        <f>K7*'conversao unidades'!$D$4/60</f>
        <v>8873.1509312987546</v>
      </c>
      <c r="M7" s="6"/>
    </row>
    <row r="8" spans="1:15">
      <c r="A8" s="19" t="s">
        <v>9</v>
      </c>
      <c r="B8" s="2"/>
      <c r="C8" s="2"/>
      <c r="D8" s="2"/>
      <c r="E8" s="2"/>
      <c r="F8" s="5"/>
      <c r="G8" s="2"/>
      <c r="H8" s="4"/>
      <c r="I8" s="6"/>
      <c r="J8" s="5"/>
      <c r="K8" s="5"/>
      <c r="L8" s="4"/>
      <c r="M8" s="6"/>
    </row>
    <row r="9" spans="1:15">
      <c r="A9" s="2" t="s">
        <v>11</v>
      </c>
      <c r="B9" s="14">
        <v>1013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A10" s="2" t="s">
        <v>10</v>
      </c>
      <c r="B10" s="14">
        <v>21.1</v>
      </c>
      <c r="E10" s="1"/>
      <c r="F10" s="1"/>
      <c r="G10" s="1"/>
      <c r="H10" s="1"/>
      <c r="I10" s="1"/>
      <c r="J10" s="1"/>
      <c r="K10" s="1"/>
      <c r="N10" s="1"/>
    </row>
    <row r="11" spans="1:15">
      <c r="E11" s="1"/>
      <c r="F11" s="1"/>
      <c r="G11" s="1"/>
      <c r="H11" s="1"/>
      <c r="I11" s="1"/>
      <c r="J11" s="1"/>
      <c r="K11" s="1"/>
      <c r="N11" s="1"/>
    </row>
    <row r="12" spans="1:15">
      <c r="E12" s="1"/>
      <c r="F12" s="1"/>
      <c r="G12" s="1"/>
      <c r="H12" s="1"/>
      <c r="I12" s="1"/>
      <c r="J12" s="1"/>
      <c r="K12" s="1"/>
      <c r="N12" s="1"/>
    </row>
    <row r="13" spans="1:15">
      <c r="L13" s="3"/>
      <c r="N13" s="1"/>
      <c r="O13" s="1"/>
    </row>
    <row r="14" spans="1:15">
      <c r="L14" s="3"/>
      <c r="N14" s="1"/>
      <c r="O14" s="1"/>
    </row>
    <row r="15" spans="1:15">
      <c r="L15" s="3"/>
      <c r="N15" s="1"/>
      <c r="O15" s="1"/>
    </row>
    <row r="16" spans="1:15">
      <c r="L16" s="3"/>
      <c r="N16" s="1"/>
      <c r="O16" s="1"/>
    </row>
    <row r="17" spans="1:18">
      <c r="L17" s="3"/>
      <c r="N17" s="1"/>
      <c r="O17" s="1"/>
    </row>
    <row r="18" spans="1:18">
      <c r="L18" s="3"/>
      <c r="N18" s="1"/>
      <c r="O18" s="1"/>
    </row>
    <row r="19" spans="1:18">
      <c r="A19" t="s">
        <v>16</v>
      </c>
      <c r="L19" s="3"/>
      <c r="N19" s="1"/>
      <c r="O19" s="1"/>
    </row>
    <row r="20" spans="1:18">
      <c r="A20" t="s">
        <v>18</v>
      </c>
      <c r="B20" s="52">
        <f>'conversao unidades'!$D$14</f>
        <v>471.94744320000007</v>
      </c>
      <c r="L20" s="3"/>
      <c r="N20" s="1"/>
      <c r="O20" s="1"/>
    </row>
    <row r="21" spans="1:18">
      <c r="A21" t="s">
        <v>20</v>
      </c>
      <c r="B21" s="53">
        <v>-1.37E-2</v>
      </c>
      <c r="N21" s="1"/>
    </row>
    <row r="22" spans="1:18">
      <c r="A22" t="s">
        <v>19</v>
      </c>
      <c r="B22" s="54">
        <f>41516/10000</f>
        <v>4.1516000000000002</v>
      </c>
      <c r="N22" s="1"/>
      <c r="P22" s="8"/>
    </row>
    <row r="23" spans="1:18">
      <c r="A23" t="s">
        <v>23</v>
      </c>
      <c r="B23" s="20" t="s">
        <v>12</v>
      </c>
      <c r="N23" s="1"/>
    </row>
    <row r="24" spans="1:18">
      <c r="A24" t="s">
        <v>24</v>
      </c>
      <c r="B24" s="20">
        <v>25.4</v>
      </c>
      <c r="N24" s="1"/>
      <c r="P24" s="1"/>
      <c r="Q24" s="1"/>
    </row>
    <row r="25" spans="1:18">
      <c r="P25" s="12"/>
      <c r="Q25" s="13"/>
      <c r="R25" s="9"/>
    </row>
    <row r="26" spans="1:18">
      <c r="P26" s="12"/>
      <c r="Q26" s="13"/>
      <c r="R26" s="9"/>
    </row>
    <row r="27" spans="1:18">
      <c r="P27" s="12"/>
      <c r="Q27" s="13"/>
      <c r="R27" s="9"/>
    </row>
    <row r="28" spans="1:18">
      <c r="P28" s="12"/>
      <c r="Q28" s="13"/>
      <c r="R28" s="9"/>
    </row>
    <row r="29" spans="1:18">
      <c r="P29" s="12"/>
      <c r="Q29" s="13"/>
      <c r="R29" s="9"/>
    </row>
    <row r="30" spans="1:18">
      <c r="P30" s="12"/>
      <c r="Q30" s="13"/>
      <c r="R30" s="9"/>
    </row>
    <row r="31" spans="1:18">
      <c r="P31" s="11"/>
    </row>
    <row r="32" spans="1:18">
      <c r="P32" s="10"/>
    </row>
    <row r="33" spans="16:16">
      <c r="P33" s="10"/>
    </row>
    <row r="34" spans="16:16">
      <c r="P34" s="10"/>
    </row>
    <row r="35" spans="16:16">
      <c r="P35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1:Z22"/>
  <sheetViews>
    <sheetView workbookViewId="0">
      <selection activeCell="S13" sqref="R13:S13"/>
    </sheetView>
  </sheetViews>
  <sheetFormatPr defaultRowHeight="15"/>
  <cols>
    <col min="8" max="8" width="13.7109375" bestFit="1" customWidth="1"/>
    <col min="13" max="13" width="13.42578125" customWidth="1"/>
    <col min="19" max="19" width="12" bestFit="1" customWidth="1"/>
    <col min="20" max="20" width="11.5703125" customWidth="1"/>
    <col min="21" max="21" width="9" bestFit="1" customWidth="1"/>
    <col min="22" max="22" width="9" customWidth="1"/>
  </cols>
  <sheetData>
    <row r="1" spans="7:26" ht="15.75" thickBot="1">
      <c r="H1" s="55" t="s">
        <v>66</v>
      </c>
      <c r="I1" s="55"/>
      <c r="J1" s="55"/>
      <c r="K1" s="55"/>
      <c r="L1" s="55"/>
      <c r="M1" s="55"/>
    </row>
    <row r="2" spans="7:26" ht="27.6" customHeight="1">
      <c r="H2" s="56" t="s">
        <v>44</v>
      </c>
      <c r="I2" s="56"/>
      <c r="J2" s="56"/>
      <c r="K2" s="56"/>
      <c r="L2" s="56"/>
      <c r="M2" s="21" t="s">
        <v>48</v>
      </c>
      <c r="N2" s="57" t="s">
        <v>45</v>
      </c>
      <c r="O2" s="59"/>
      <c r="P2" s="57" t="s">
        <v>46</v>
      </c>
      <c r="Q2" s="58"/>
      <c r="R2" s="58"/>
      <c r="S2" s="58"/>
      <c r="T2" s="59"/>
      <c r="U2" s="57" t="s">
        <v>51</v>
      </c>
      <c r="V2" s="59"/>
      <c r="W2" s="60" t="s">
        <v>47</v>
      </c>
      <c r="X2" s="61"/>
      <c r="Y2" s="36"/>
      <c r="Z2" s="23"/>
    </row>
    <row r="3" spans="7:26" ht="30">
      <c r="G3" s="1" t="s">
        <v>33</v>
      </c>
      <c r="H3" s="43" t="s">
        <v>64</v>
      </c>
      <c r="I3" s="44" t="s">
        <v>25</v>
      </c>
      <c r="J3" s="43" t="s">
        <v>65</v>
      </c>
      <c r="K3" s="44" t="s">
        <v>27</v>
      </c>
      <c r="L3" s="44" t="s">
        <v>32</v>
      </c>
      <c r="M3" s="45" t="s">
        <v>41</v>
      </c>
      <c r="N3" s="46" t="s">
        <v>29</v>
      </c>
      <c r="O3" s="46" t="s">
        <v>30</v>
      </c>
      <c r="P3" s="40" t="s">
        <v>27</v>
      </c>
      <c r="Q3" s="40" t="s">
        <v>27</v>
      </c>
      <c r="R3" s="40" t="s">
        <v>30</v>
      </c>
      <c r="S3" s="40" t="s">
        <v>32</v>
      </c>
      <c r="T3" s="40" t="s">
        <v>34</v>
      </c>
      <c r="U3" s="39" t="s">
        <v>49</v>
      </c>
      <c r="V3" s="34" t="s">
        <v>50</v>
      </c>
      <c r="W3" s="26" t="s">
        <v>38</v>
      </c>
      <c r="X3" s="30" t="s">
        <v>38</v>
      </c>
      <c r="Y3" s="27" t="s">
        <v>38</v>
      </c>
      <c r="Z3" s="24" t="s">
        <v>39</v>
      </c>
    </row>
    <row r="4" spans="7:26">
      <c r="G4" s="1"/>
      <c r="H4" s="41" t="s">
        <v>26</v>
      </c>
      <c r="I4" s="41" t="s">
        <v>12</v>
      </c>
      <c r="J4" s="41" t="s">
        <v>26</v>
      </c>
      <c r="K4" s="41" t="s">
        <v>28</v>
      </c>
      <c r="L4" s="41" t="s">
        <v>21</v>
      </c>
      <c r="M4" s="42" t="s">
        <v>42</v>
      </c>
      <c r="N4" s="40" t="s">
        <v>26</v>
      </c>
      <c r="O4" s="40" t="s">
        <v>28</v>
      </c>
      <c r="P4" s="40" t="s">
        <v>31</v>
      </c>
      <c r="Q4" s="40" t="s">
        <v>43</v>
      </c>
      <c r="R4" s="40" t="s">
        <v>31</v>
      </c>
      <c r="S4" s="40" t="s">
        <v>22</v>
      </c>
      <c r="T4" s="40" t="s">
        <v>37</v>
      </c>
      <c r="U4" s="30" t="s">
        <v>52</v>
      </c>
      <c r="V4" s="27" t="s">
        <v>53</v>
      </c>
      <c r="W4" s="26" t="s">
        <v>7</v>
      </c>
      <c r="X4" s="30" t="s">
        <v>35</v>
      </c>
      <c r="Y4" s="27" t="s">
        <v>36</v>
      </c>
      <c r="Z4" s="24" t="s">
        <v>40</v>
      </c>
    </row>
    <row r="5" spans="7:26" s="1" customFormat="1" ht="15.75" thickBot="1">
      <c r="G5" s="1">
        <v>1</v>
      </c>
      <c r="H5" s="16">
        <v>943</v>
      </c>
      <c r="I5" s="16">
        <v>20.32</v>
      </c>
      <c r="J5" s="16">
        <v>947</v>
      </c>
      <c r="K5" s="16">
        <v>20</v>
      </c>
      <c r="L5" s="47">
        <f>'dados calibracao'!H3</f>
        <v>6185.567010309278</v>
      </c>
      <c r="M5" s="22">
        <v>0.97872000000000003</v>
      </c>
      <c r="N5" s="28">
        <f>'dados calibracao'!$B$9</f>
        <v>1013</v>
      </c>
      <c r="O5" s="29">
        <f>'dados calibracao'!$B$10</f>
        <v>21.1</v>
      </c>
      <c r="P5" s="28">
        <f>273.15+K5</f>
        <v>293.14999999999998</v>
      </c>
      <c r="Q5" s="31">
        <f>K5*1.8+32</f>
        <v>68</v>
      </c>
      <c r="R5" s="31">
        <f>273.15+O5</f>
        <v>294.25</v>
      </c>
      <c r="S5" s="32">
        <f>L5*1000/3600</f>
        <v>1718.2130584192439</v>
      </c>
      <c r="T5" s="33">
        <f>I5/25.4</f>
        <v>0.8</v>
      </c>
      <c r="U5" s="28">
        <f>'dados calibracao'!$B$21</f>
        <v>-1.37E-2</v>
      </c>
      <c r="V5" s="35">
        <f>'dados calibracao'!$B$22</f>
        <v>4.1516000000000002</v>
      </c>
      <c r="W5" s="37">
        <f>$U$5*T5^2+$V$5*T5</f>
        <v>3.3125120000000003</v>
      </c>
      <c r="X5" s="32">
        <f>W5*'conversao unidades'!$D$14</f>
        <v>1563.3315689693188</v>
      </c>
      <c r="Y5" s="38">
        <f>X5*(N5/H5)*(P5/R5)</f>
        <v>1673.1014572740316</v>
      </c>
      <c r="Z5" s="25">
        <f>(Y5-S5)/S5</f>
        <v>-2.6254951866513537E-2</v>
      </c>
    </row>
    <row r="6" spans="7:26" ht="15.75" thickBot="1">
      <c r="G6" s="1">
        <v>2</v>
      </c>
      <c r="H6" s="16"/>
      <c r="I6" s="16"/>
      <c r="J6" s="16"/>
      <c r="K6" s="16"/>
      <c r="L6" s="47"/>
      <c r="M6" s="22"/>
      <c r="N6" s="28"/>
      <c r="O6" s="29"/>
      <c r="P6" s="28"/>
      <c r="Q6" s="31"/>
      <c r="R6" s="31"/>
      <c r="S6" s="32"/>
      <c r="T6" s="33"/>
      <c r="U6" s="28"/>
      <c r="V6" s="35"/>
      <c r="W6" s="37"/>
      <c r="X6" s="32"/>
      <c r="Y6" s="38"/>
      <c r="Z6" s="25"/>
    </row>
    <row r="7" spans="7:26" ht="15.75" thickBot="1">
      <c r="G7" s="1">
        <v>3</v>
      </c>
      <c r="H7" s="16"/>
      <c r="I7" s="16"/>
      <c r="J7" s="16"/>
      <c r="K7" s="16"/>
      <c r="L7" s="47"/>
      <c r="M7" s="22"/>
      <c r="N7" s="28"/>
      <c r="O7" s="29"/>
      <c r="P7" s="28"/>
      <c r="Q7" s="31"/>
      <c r="R7" s="31"/>
      <c r="S7" s="32"/>
      <c r="T7" s="33"/>
      <c r="U7" s="28"/>
      <c r="V7" s="35"/>
      <c r="W7" s="37"/>
      <c r="X7" s="32"/>
      <c r="Y7" s="38"/>
      <c r="Z7" s="25"/>
    </row>
    <row r="8" spans="7:26" ht="15.75" thickBot="1">
      <c r="G8" s="1">
        <v>4</v>
      </c>
      <c r="H8" s="1"/>
      <c r="I8" s="1"/>
      <c r="J8" s="1"/>
      <c r="K8" s="1"/>
      <c r="L8" s="1"/>
      <c r="M8" s="1"/>
      <c r="N8" s="28"/>
      <c r="O8" s="29"/>
      <c r="P8" s="28"/>
      <c r="Q8" s="31"/>
      <c r="R8" s="31"/>
      <c r="S8" s="32"/>
      <c r="T8" s="33"/>
      <c r="U8" s="28"/>
      <c r="V8" s="35"/>
      <c r="W8" s="37"/>
      <c r="X8" s="32"/>
      <c r="Y8" s="38"/>
      <c r="Z8" s="25"/>
    </row>
    <row r="9" spans="7:26" ht="15.75" thickBot="1">
      <c r="N9" s="28"/>
      <c r="O9" s="29"/>
      <c r="P9" s="28"/>
      <c r="Q9" s="31"/>
      <c r="R9" s="31"/>
      <c r="S9" s="32"/>
      <c r="T9" s="33"/>
      <c r="U9" s="28"/>
      <c r="V9" s="35"/>
      <c r="W9" s="37"/>
      <c r="X9" s="32"/>
      <c r="Y9" s="38"/>
      <c r="Z9" s="25"/>
    </row>
    <row r="18" spans="6:8">
      <c r="H18" s="17">
        <f>28316846592/1000000</f>
        <v>28316.846592000002</v>
      </c>
    </row>
    <row r="19" spans="6:8">
      <c r="H19">
        <f>H18/60</f>
        <v>471.94744320000001</v>
      </c>
    </row>
    <row r="21" spans="6:8">
      <c r="F21">
        <f>PI()*2.6^2/4</f>
        <v>5.3092915845667505</v>
      </c>
    </row>
    <row r="22" spans="6:8">
      <c r="F22">
        <f>S5/F21</f>
        <v>323.62378879581797</v>
      </c>
    </row>
  </sheetData>
  <mergeCells count="6">
    <mergeCell ref="H1:M1"/>
    <mergeCell ref="H2:L2"/>
    <mergeCell ref="P2:T2"/>
    <mergeCell ref="W2:X2"/>
    <mergeCell ref="U2:V2"/>
    <mergeCell ref="N2:O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C28" sqref="C28"/>
    </sheetView>
  </sheetViews>
  <sheetFormatPr defaultRowHeight="15"/>
  <sheetData>
    <row r="1" spans="1:3">
      <c r="A1" s="1"/>
      <c r="B1" s="15"/>
      <c r="C1" s="1"/>
    </row>
    <row r="2" spans="1:3">
      <c r="A2" s="1"/>
      <c r="B2" s="1"/>
      <c r="C2" s="1"/>
    </row>
    <row r="3" spans="1:3">
      <c r="A3" s="1"/>
      <c r="B3" s="1"/>
      <c r="C3" s="1"/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14"/>
  <sheetViews>
    <sheetView workbookViewId="0">
      <selection activeCell="I17" sqref="I17"/>
    </sheetView>
  </sheetViews>
  <sheetFormatPr defaultRowHeight="15"/>
  <cols>
    <col min="1" max="5" width="8.85546875" style="1"/>
  </cols>
  <sheetData>
    <row r="2" spans="1:5">
      <c r="A2" s="1">
        <v>1</v>
      </c>
      <c r="B2" s="1" t="s">
        <v>55</v>
      </c>
      <c r="C2" s="1" t="s">
        <v>56</v>
      </c>
      <c r="D2" s="1">
        <f>0.3048^3</f>
        <v>2.8316846592000004E-2</v>
      </c>
      <c r="E2" s="1" t="s">
        <v>57</v>
      </c>
    </row>
    <row r="3" spans="1:5">
      <c r="A3" s="1">
        <v>1</v>
      </c>
      <c r="B3" s="1" t="s">
        <v>55</v>
      </c>
      <c r="C3" s="1" t="s">
        <v>56</v>
      </c>
      <c r="D3" s="1">
        <f>1000*D2</f>
        <v>28.316846592000005</v>
      </c>
      <c r="E3" s="1" t="s">
        <v>58</v>
      </c>
    </row>
    <row r="4" spans="1:5">
      <c r="A4" s="1">
        <v>1</v>
      </c>
      <c r="B4" s="1" t="s">
        <v>55</v>
      </c>
      <c r="C4" s="1" t="s">
        <v>56</v>
      </c>
      <c r="D4" s="1">
        <f>1000*D3</f>
        <v>28316.846592000005</v>
      </c>
      <c r="E4" s="1" t="s">
        <v>59</v>
      </c>
    </row>
    <row r="6" spans="1:5">
      <c r="A6" s="1">
        <v>1</v>
      </c>
      <c r="B6" s="1" t="s">
        <v>57</v>
      </c>
      <c r="C6" s="1" t="s">
        <v>56</v>
      </c>
      <c r="D6" s="1">
        <f>1/D2</f>
        <v>35.314666721488585</v>
      </c>
      <c r="E6" s="1" t="s">
        <v>55</v>
      </c>
    </row>
    <row r="7" spans="1:5">
      <c r="A7" s="1">
        <v>1</v>
      </c>
      <c r="B7" s="1" t="s">
        <v>58</v>
      </c>
      <c r="C7" s="1" t="s">
        <v>56</v>
      </c>
      <c r="D7" s="1">
        <f>1/D3</f>
        <v>3.5314666721488586E-2</v>
      </c>
      <c r="E7" s="1" t="s">
        <v>55</v>
      </c>
    </row>
    <row r="8" spans="1:5">
      <c r="A8" s="1">
        <v>1</v>
      </c>
      <c r="B8" s="1" t="s">
        <v>59</v>
      </c>
      <c r="C8" s="1" t="s">
        <v>56</v>
      </c>
      <c r="D8" s="1">
        <f>1/D4</f>
        <v>3.5314666721488586E-5</v>
      </c>
      <c r="E8" s="1" t="s">
        <v>55</v>
      </c>
    </row>
    <row r="10" spans="1:5">
      <c r="A10" s="1">
        <v>1</v>
      </c>
      <c r="B10" s="1" t="s">
        <v>60</v>
      </c>
      <c r="C10" s="1" t="s">
        <v>56</v>
      </c>
      <c r="D10" s="1">
        <f>D7</f>
        <v>3.5314666721488586E-2</v>
      </c>
      <c r="E10" s="1" t="s">
        <v>61</v>
      </c>
    </row>
    <row r="11" spans="1:5">
      <c r="A11" s="1">
        <v>1</v>
      </c>
      <c r="B11" s="1" t="s">
        <v>60</v>
      </c>
      <c r="C11" s="1" t="s">
        <v>56</v>
      </c>
      <c r="D11" s="1">
        <f>D10/60</f>
        <v>5.8857777869147638E-4</v>
      </c>
      <c r="E11" s="1" t="s">
        <v>62</v>
      </c>
    </row>
    <row r="12" spans="1:5">
      <c r="A12" s="1">
        <v>1</v>
      </c>
      <c r="B12" s="1" t="s">
        <v>17</v>
      </c>
      <c r="C12" s="1" t="s">
        <v>56</v>
      </c>
      <c r="D12" s="1">
        <f>60*D8</f>
        <v>2.1188800032893151E-3</v>
      </c>
      <c r="E12" s="1" t="s">
        <v>62</v>
      </c>
    </row>
    <row r="14" spans="1:5">
      <c r="A14" s="1">
        <v>1</v>
      </c>
      <c r="B14" s="1" t="s">
        <v>62</v>
      </c>
      <c r="C14" s="1" t="s">
        <v>56</v>
      </c>
      <c r="D14" s="1">
        <f>D4/60</f>
        <v>471.94744320000007</v>
      </c>
      <c r="E14" s="1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calibracao</vt:lpstr>
      <vt:lpstr>cheque calibração</vt:lpstr>
      <vt:lpstr>fmig</vt:lpstr>
      <vt:lpstr>conversao unidades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Controle</dc:creator>
  <cp:lastModifiedBy>adm2pfg</cp:lastModifiedBy>
  <dcterms:created xsi:type="dcterms:W3CDTF">2013-08-13T17:15:51Z</dcterms:created>
  <dcterms:modified xsi:type="dcterms:W3CDTF">2014-03-28T17:16:17Z</dcterms:modified>
</cp:coreProperties>
</file>