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0100" windowHeight="9000"/>
  </bookViews>
  <sheets>
    <sheet name="agua" sheetId="1" r:id="rId1"/>
  </sheets>
  <calcPr calcId="125725"/>
</workbook>
</file>

<file path=xl/calcChain.xml><?xml version="1.0" encoding="utf-8"?>
<calcChain xmlns="http://schemas.openxmlformats.org/spreadsheetml/2006/main">
  <c r="B14" i="1"/>
  <c r="C26" s="1"/>
  <c r="B7"/>
  <c r="B6"/>
  <c r="B1"/>
  <c r="D18"/>
  <c r="D19"/>
  <c r="B31"/>
  <c r="B28"/>
  <c r="P6"/>
  <c r="P5"/>
  <c r="P4"/>
  <c r="P3"/>
  <c r="P2"/>
  <c r="B19"/>
  <c r="F28"/>
  <c r="F72"/>
  <c r="F64"/>
  <c r="C67"/>
  <c r="C59"/>
  <c r="B18"/>
  <c r="C18" s="1"/>
  <c r="C19"/>
  <c r="F29"/>
  <c r="F30"/>
  <c r="F31"/>
  <c r="F71"/>
  <c r="F70"/>
  <c r="F69"/>
  <c r="F63"/>
  <c r="F62"/>
  <c r="F61"/>
  <c r="M26"/>
  <c r="M27"/>
  <c r="M28"/>
  <c r="M25"/>
  <c r="AD43"/>
  <c r="AD42"/>
  <c r="AD41"/>
  <c r="AD40"/>
  <c r="AD39"/>
  <c r="AD38"/>
  <c r="J2"/>
  <c r="J4"/>
  <c r="F45"/>
  <c r="F46"/>
  <c r="F44"/>
  <c r="F36"/>
  <c r="C14" l="1"/>
  <c r="D14" s="1"/>
  <c r="E14" s="1"/>
  <c r="F18"/>
  <c r="G18" s="1"/>
  <c r="H18" s="1"/>
  <c r="I18" s="1"/>
  <c r="K18" s="1"/>
  <c r="M18" s="1"/>
  <c r="O18" s="1"/>
  <c r="Q18" s="1"/>
  <c r="E18"/>
  <c r="J18" s="1"/>
  <c r="L18" s="1"/>
  <c r="N18" s="1"/>
  <c r="P18" s="1"/>
  <c r="F19"/>
  <c r="G19" s="1"/>
  <c r="H19" s="1"/>
  <c r="I19" s="1"/>
  <c r="K19" s="1"/>
  <c r="M19" s="1"/>
  <c r="O19" s="1"/>
  <c r="Q19" s="1"/>
  <c r="E19"/>
  <c r="J19" s="1"/>
  <c r="L19" s="1"/>
  <c r="N19" s="1"/>
  <c r="P19" s="1"/>
  <c r="J14" l="1"/>
  <c r="L14" s="1"/>
  <c r="N14" s="1"/>
  <c r="E9"/>
  <c r="B15"/>
  <c r="B16"/>
  <c r="C16" s="1"/>
  <c r="D16" s="1"/>
  <c r="B17"/>
  <c r="O28" s="1"/>
  <c r="P28" s="1"/>
  <c r="F54"/>
  <c r="F53"/>
  <c r="F52"/>
  <c r="R2"/>
  <c r="A36" s="1"/>
  <c r="A52" s="1"/>
  <c r="A61" s="1"/>
  <c r="A69" s="1"/>
  <c r="Q3"/>
  <c r="B29" s="1"/>
  <c r="F38"/>
  <c r="F37"/>
  <c r="B4"/>
  <c r="B5" s="1"/>
  <c r="C34" l="1"/>
  <c r="C15"/>
  <c r="D15" s="1"/>
  <c r="C50"/>
  <c r="C17"/>
  <c r="O26"/>
  <c r="P26" s="1"/>
  <c r="F16"/>
  <c r="G16" s="1"/>
  <c r="H16" s="1"/>
  <c r="I16" s="1"/>
  <c r="K16" s="1"/>
  <c r="M16" s="1"/>
  <c r="C42"/>
  <c r="O25"/>
  <c r="P25" s="1"/>
  <c r="O27"/>
  <c r="P27" s="1"/>
  <c r="Q2"/>
  <c r="Q5"/>
  <c r="Q4"/>
  <c r="B38" s="1"/>
  <c r="B54" s="1"/>
  <c r="B63" s="1"/>
  <c r="R5"/>
  <c r="A39" s="1"/>
  <c r="A55" s="1"/>
  <c r="A64" s="1"/>
  <c r="A72" s="1"/>
  <c r="R6"/>
  <c r="B45"/>
  <c r="B37"/>
  <c r="B53" s="1"/>
  <c r="B62" s="1"/>
  <c r="Q6"/>
  <c r="A28"/>
  <c r="A44" s="1"/>
  <c r="R3"/>
  <c r="R4"/>
  <c r="F17" l="1"/>
  <c r="G17" s="1"/>
  <c r="H17" s="1"/>
  <c r="I17" s="1"/>
  <c r="K17" s="1"/>
  <c r="M17" s="1"/>
  <c r="D17"/>
  <c r="G63"/>
  <c r="B71"/>
  <c r="H63"/>
  <c r="B36"/>
  <c r="B52" s="1"/>
  <c r="B61" s="1"/>
  <c r="B44"/>
  <c r="G62"/>
  <c r="B70"/>
  <c r="H62"/>
  <c r="B30"/>
  <c r="B46" s="1"/>
  <c r="E16"/>
  <c r="E17"/>
  <c r="B39"/>
  <c r="B55" s="1"/>
  <c r="B64" s="1"/>
  <c r="A31"/>
  <c r="A47" s="1"/>
  <c r="A29"/>
  <c r="A45" s="1"/>
  <c r="A37"/>
  <c r="A53" s="1"/>
  <c r="A62" s="1"/>
  <c r="A70" s="1"/>
  <c r="A30"/>
  <c r="A46" s="1"/>
  <c r="A38"/>
  <c r="A54" s="1"/>
  <c r="A63" s="1"/>
  <c r="A71" s="1"/>
  <c r="B8"/>
  <c r="O17" s="1"/>
  <c r="Q17" s="1"/>
  <c r="F15"/>
  <c r="G15" s="1"/>
  <c r="H15" s="1"/>
  <c r="I15" s="1"/>
  <c r="F14"/>
  <c r="E15"/>
  <c r="H52" l="1"/>
  <c r="H64"/>
  <c r="G64"/>
  <c r="B72"/>
  <c r="H61"/>
  <c r="B69"/>
  <c r="G61"/>
  <c r="H70"/>
  <c r="G70"/>
  <c r="G71"/>
  <c r="H71"/>
  <c r="B47"/>
  <c r="J63"/>
  <c r="I63"/>
  <c r="K63" s="1"/>
  <c r="J62"/>
  <c r="I62"/>
  <c r="K62" s="1"/>
  <c r="J61"/>
  <c r="I61"/>
  <c r="K61" s="1"/>
  <c r="J16"/>
  <c r="L16" s="1"/>
  <c r="N16" s="1"/>
  <c r="P16" s="1"/>
  <c r="J17"/>
  <c r="L17" s="1"/>
  <c r="N17" s="1"/>
  <c r="P17" s="1"/>
  <c r="J15"/>
  <c r="L15" s="1"/>
  <c r="N15" s="1"/>
  <c r="P15" s="1"/>
  <c r="O16"/>
  <c r="Q16" s="1"/>
  <c r="G14"/>
  <c r="H14" s="1"/>
  <c r="I14" s="1"/>
  <c r="K14" s="1"/>
  <c r="M14" s="1"/>
  <c r="O14" s="1"/>
  <c r="P14"/>
  <c r="G28" s="1"/>
  <c r="K15"/>
  <c r="M15" s="1"/>
  <c r="O15" s="1"/>
  <c r="Q15" s="1"/>
  <c r="G29" l="1"/>
  <c r="G31"/>
  <c r="G30"/>
  <c r="G72"/>
  <c r="H72"/>
  <c r="J71"/>
  <c r="I71"/>
  <c r="K71" s="1"/>
  <c r="H69"/>
  <c r="G69"/>
  <c r="J70"/>
  <c r="I70"/>
  <c r="K70" s="1"/>
  <c r="I64"/>
  <c r="J64"/>
  <c r="G36"/>
  <c r="J36" s="1"/>
  <c r="G38"/>
  <c r="G37"/>
  <c r="J37" s="1"/>
  <c r="G52"/>
  <c r="G54"/>
  <c r="J54" s="1"/>
  <c r="G53"/>
  <c r="J53" s="1"/>
  <c r="H44"/>
  <c r="H46"/>
  <c r="H45"/>
  <c r="G46"/>
  <c r="J46" s="1"/>
  <c r="G45"/>
  <c r="J45" s="1"/>
  <c r="G44"/>
  <c r="J44" s="1"/>
  <c r="H36"/>
  <c r="H38"/>
  <c r="H37"/>
  <c r="H54"/>
  <c r="H53"/>
  <c r="I72" l="1"/>
  <c r="J72"/>
  <c r="J69"/>
  <c r="I69"/>
  <c r="K69" s="1"/>
  <c r="J31"/>
  <c r="I31"/>
  <c r="K31" s="1"/>
  <c r="J30"/>
  <c r="I30"/>
  <c r="K30" s="1"/>
  <c r="J28"/>
  <c r="I28"/>
  <c r="K28" s="1"/>
  <c r="J29"/>
  <c r="I29"/>
  <c r="K29" s="1"/>
  <c r="I38"/>
  <c r="K38" s="1"/>
  <c r="J38"/>
  <c r="I52"/>
  <c r="K52" s="1"/>
  <c r="J52"/>
  <c r="Q14"/>
  <c r="H31" s="1"/>
  <c r="I44"/>
  <c r="K44" s="1"/>
  <c r="I53"/>
  <c r="K53" s="1"/>
  <c r="I45"/>
  <c r="K45" s="1"/>
  <c r="I46"/>
  <c r="K46" s="1"/>
  <c r="I54"/>
  <c r="K54" s="1"/>
  <c r="I37"/>
  <c r="K37" s="1"/>
  <c r="I36"/>
  <c r="K36" s="1"/>
  <c r="Q25" l="1"/>
  <c r="H28"/>
  <c r="H30"/>
  <c r="H29"/>
  <c r="Q26"/>
  <c r="Q27"/>
  <c r="Q28"/>
  <c r="Q30" l="1"/>
</calcChain>
</file>

<file path=xl/sharedStrings.xml><?xml version="1.0" encoding="utf-8"?>
<sst xmlns="http://schemas.openxmlformats.org/spreadsheetml/2006/main" count="196" uniqueCount="57">
  <si>
    <t>enul</t>
  </si>
  <si>
    <t>rho</t>
  </si>
  <si>
    <t>U</t>
  </si>
  <si>
    <t>H</t>
  </si>
  <si>
    <t>Cf</t>
  </si>
  <si>
    <t>tau/rho</t>
  </si>
  <si>
    <t>(m/s)</t>
  </si>
  <si>
    <t>Dh</t>
  </si>
  <si>
    <t>(---)</t>
  </si>
  <si>
    <t>(m2/s2)</t>
  </si>
  <si>
    <t>Blasius</t>
  </si>
  <si>
    <t>f Haaland</t>
  </si>
  <si>
    <t>f Cole</t>
  </si>
  <si>
    <t>fCole2</t>
  </si>
  <si>
    <t>Cf Cole</t>
  </si>
  <si>
    <r>
      <t>Re</t>
    </r>
    <r>
      <rPr>
        <vertAlign val="subscript"/>
        <sz val="11"/>
        <color theme="1"/>
        <rFont val="Calibri"/>
        <family val="2"/>
        <scheme val="minor"/>
      </rPr>
      <t>2H</t>
    </r>
  </si>
  <si>
    <t>JL</t>
  </si>
  <si>
    <t>cm/s</t>
  </si>
  <si>
    <t>P</t>
  </si>
  <si>
    <t>A</t>
  </si>
  <si>
    <t>p/a</t>
  </si>
  <si>
    <t>tauw</t>
  </si>
  <si>
    <t>grad P</t>
  </si>
  <si>
    <t>N/m2</t>
  </si>
  <si>
    <t>Pa/m</t>
  </si>
  <si>
    <t>mBar/m</t>
  </si>
  <si>
    <t>mBar</t>
  </si>
  <si>
    <t>#1</t>
  </si>
  <si>
    <t>#2</t>
  </si>
  <si>
    <t>#3</t>
  </si>
  <si>
    <t>#4</t>
  </si>
  <si>
    <t>kg/m3</t>
  </si>
  <si>
    <t>m</t>
  </si>
  <si>
    <t>m2</t>
  </si>
  <si>
    <t>1/m</t>
  </si>
  <si>
    <t>Exp</t>
  </si>
  <si>
    <t>Cole</t>
  </si>
  <si>
    <t>mmCA</t>
  </si>
  <si>
    <t>erro</t>
  </si>
  <si>
    <t>1mBar</t>
  </si>
  <si>
    <t>=</t>
  </si>
  <si>
    <t>1mmCA</t>
  </si>
  <si>
    <t>1Pa</t>
  </si>
  <si>
    <t>Pa</t>
  </si>
  <si>
    <t>Col H2O</t>
  </si>
  <si>
    <t>Exp Corr</t>
  </si>
  <si>
    <t>para</t>
  </si>
  <si>
    <t xml:space="preserve">para </t>
  </si>
  <si>
    <t>dist injetor a E#1</t>
  </si>
  <si>
    <t>dist injetor a E#2</t>
  </si>
  <si>
    <t>dist. Injetor a E#3</t>
  </si>
  <si>
    <t>dist. Injetor a E#4</t>
  </si>
  <si>
    <t>dist. Injetor a saída</t>
  </si>
  <si>
    <t>mm</t>
  </si>
  <si>
    <t>Fator correção coriolis</t>
  </si>
  <si>
    <t>abs</t>
  </si>
  <si>
    <t>erro medio% mBar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</si>
</sst>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"/>
    <numFmt numFmtId="166" formatCode="0.0000"/>
    <numFmt numFmtId="167" formatCode="0.0%"/>
    <numFmt numFmtId="168" formatCode="0.000E+00"/>
  </numFmts>
  <fonts count="8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2" fillId="0" borderId="0" xfId="0" applyFont="1"/>
    <xf numFmtId="165" fontId="0" fillId="0" borderId="0" xfId="0" applyNumberFormat="1"/>
    <xf numFmtId="0" fontId="4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1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9" fontId="0" fillId="3" borderId="0" xfId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11" fontId="5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 wrapText="1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Fill="1" applyAlignment="1">
      <alignment horizontal="center"/>
    </xf>
    <xf numFmtId="3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6643285214348241"/>
          <c:y val="2.8252405949256338E-2"/>
          <c:w val="0.77469903762030268"/>
          <c:h val="0.74928623505395153"/>
        </c:manualLayout>
      </c:layout>
      <c:scatterChart>
        <c:scatterStyle val="smoothMarker"/>
        <c:ser>
          <c:idx val="0"/>
          <c:order val="0"/>
          <c:tx>
            <c:v>jl 52 exp</c:v>
          </c:tx>
          <c:xVal>
            <c:numRef>
              <c:f>agua!$A$28:$A$31</c:f>
              <c:numCache>
                <c:formatCode>0.0</c:formatCode>
                <c:ptCount val="4"/>
                <c:pt idx="0">
                  <c:v>0</c:v>
                </c:pt>
                <c:pt idx="1">
                  <c:v>4.0039999999999996</c:v>
                </c:pt>
                <c:pt idx="2">
                  <c:v>10.348000000000001</c:v>
                </c:pt>
                <c:pt idx="3">
                  <c:v>18.641999999999999</c:v>
                </c:pt>
              </c:numCache>
            </c:numRef>
          </c:xVal>
          <c:yVal>
            <c:numRef>
              <c:f>agua!$F$28:$F$31</c:f>
              <c:numCache>
                <c:formatCode>0</c:formatCode>
                <c:ptCount val="4"/>
                <c:pt idx="0">
                  <c:v>36</c:v>
                </c:pt>
                <c:pt idx="1">
                  <c:v>29.400000000000006</c:v>
                </c:pt>
                <c:pt idx="2">
                  <c:v>18</c:v>
                </c:pt>
                <c:pt idx="3">
                  <c:v>6.6000000000000014</c:v>
                </c:pt>
              </c:numCache>
            </c:numRef>
          </c:yVal>
          <c:smooth val="1"/>
        </c:ser>
        <c:ser>
          <c:idx val="1"/>
          <c:order val="1"/>
          <c:tx>
            <c:v>jl 52 cole</c:v>
          </c:tx>
          <c:xVal>
            <c:numRef>
              <c:f>agua!$A$28:$A$31</c:f>
              <c:numCache>
                <c:formatCode>0.0</c:formatCode>
                <c:ptCount val="4"/>
                <c:pt idx="0">
                  <c:v>0</c:v>
                </c:pt>
                <c:pt idx="1">
                  <c:v>4.0039999999999996</c:v>
                </c:pt>
                <c:pt idx="2">
                  <c:v>10.348000000000001</c:v>
                </c:pt>
                <c:pt idx="3">
                  <c:v>18.641999999999999</c:v>
                </c:pt>
              </c:numCache>
            </c:numRef>
          </c:xVal>
          <c:yVal>
            <c:numRef>
              <c:f>agua!$G$28:$G$31</c:f>
              <c:numCache>
                <c:formatCode>0.0</c:formatCode>
                <c:ptCount val="4"/>
                <c:pt idx="0">
                  <c:v>43.556151625625191</c:v>
                </c:pt>
                <c:pt idx="1">
                  <c:v>35.720115001388876</c:v>
                </c:pt>
                <c:pt idx="2">
                  <c:v>23.304576453897589</c:v>
                </c:pt>
                <c:pt idx="3">
                  <c:v>7.0727863036938095</c:v>
                </c:pt>
              </c:numCache>
            </c:numRef>
          </c:yVal>
          <c:smooth val="1"/>
        </c:ser>
        <c:axId val="86406656"/>
        <c:axId val="86408192"/>
      </c:scatterChart>
      <c:valAx>
        <c:axId val="86406656"/>
        <c:scaling>
          <c:orientation val="minMax"/>
        </c:scaling>
        <c:axPos val="b"/>
        <c:numFmt formatCode="0.0" sourceLinked="1"/>
        <c:tickLblPos val="nextTo"/>
        <c:crossAx val="86408192"/>
        <c:crosses val="autoZero"/>
        <c:crossBetween val="midCat"/>
      </c:valAx>
      <c:valAx>
        <c:axId val="86408192"/>
        <c:scaling>
          <c:orientation val="minMax"/>
        </c:scaling>
        <c:axPos val="l"/>
        <c:majorGridlines/>
        <c:numFmt formatCode="0" sourceLinked="1"/>
        <c:tickLblPos val="nextTo"/>
        <c:crossAx val="86406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763779527559"/>
          <c:y val="0.13387540099154269"/>
          <c:w val="0.18368066491688537"/>
          <c:h val="0.16743438320210047"/>
        </c:manualLayout>
      </c:layout>
    </c:legend>
    <c:plotVisOnly val="1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4162729658792736"/>
          <c:y val="5.1400554097404488E-2"/>
          <c:w val="0.79136570428696207"/>
          <c:h val="0.74002697579469234"/>
        </c:manualLayout>
      </c:layout>
      <c:scatterChart>
        <c:scatterStyle val="smoothMarker"/>
        <c:ser>
          <c:idx val="0"/>
          <c:order val="0"/>
          <c:tx>
            <c:v>jl 120 exp</c:v>
          </c:tx>
          <c:xVal>
            <c:numRef>
              <c:f>agua!$A$36:$A$39</c:f>
              <c:numCache>
                <c:formatCode>0.0</c:formatCode>
                <c:ptCount val="4"/>
                <c:pt idx="0">
                  <c:v>0</c:v>
                </c:pt>
                <c:pt idx="1">
                  <c:v>4.0039999999999996</c:v>
                </c:pt>
                <c:pt idx="2">
                  <c:v>10.348000000000001</c:v>
                </c:pt>
                <c:pt idx="3">
                  <c:v>18.641999999999999</c:v>
                </c:pt>
              </c:numCache>
            </c:numRef>
          </c:xVal>
          <c:yVal>
            <c:numRef>
              <c:f>agua!$F$36:$F$39</c:f>
              <c:numCache>
                <c:formatCode>0</c:formatCode>
                <c:ptCount val="4"/>
                <c:pt idx="0">
                  <c:v>153.5</c:v>
                </c:pt>
                <c:pt idx="1">
                  <c:v>125</c:v>
                </c:pt>
                <c:pt idx="2">
                  <c:v>81</c:v>
                </c:pt>
              </c:numCache>
            </c:numRef>
          </c:yVal>
          <c:smooth val="1"/>
        </c:ser>
        <c:ser>
          <c:idx val="1"/>
          <c:order val="1"/>
          <c:tx>
            <c:v>jl 120 cole</c:v>
          </c:tx>
          <c:xVal>
            <c:numRef>
              <c:f>agua!$A$36:$A$39</c:f>
              <c:numCache>
                <c:formatCode>0.0</c:formatCode>
                <c:ptCount val="4"/>
                <c:pt idx="0">
                  <c:v>0</c:v>
                </c:pt>
                <c:pt idx="1">
                  <c:v>4.0039999999999996</c:v>
                </c:pt>
                <c:pt idx="2">
                  <c:v>10.348000000000001</c:v>
                </c:pt>
                <c:pt idx="3">
                  <c:v>18.641999999999999</c:v>
                </c:pt>
              </c:numCache>
            </c:numRef>
          </c:xVal>
          <c:yVal>
            <c:numRef>
              <c:f>agua!$G$36:$G$39</c:f>
              <c:numCache>
                <c:formatCode>0</c:formatCode>
                <c:ptCount val="4"/>
                <c:pt idx="0">
                  <c:v>146.50484705694186</c:v>
                </c:pt>
                <c:pt idx="1">
                  <c:v>120.14766662847333</c:v>
                </c:pt>
                <c:pt idx="2">
                  <c:v>78.38693919635439</c:v>
                </c:pt>
              </c:numCache>
            </c:numRef>
          </c:yVal>
          <c:smooth val="1"/>
        </c:ser>
        <c:axId val="86436864"/>
        <c:axId val="86582016"/>
      </c:scatterChart>
      <c:valAx>
        <c:axId val="86436864"/>
        <c:scaling>
          <c:orientation val="minMax"/>
        </c:scaling>
        <c:axPos val="b"/>
        <c:numFmt formatCode="0.0" sourceLinked="1"/>
        <c:tickLblPos val="nextTo"/>
        <c:crossAx val="86582016"/>
        <c:crosses val="autoZero"/>
        <c:crossBetween val="midCat"/>
      </c:valAx>
      <c:valAx>
        <c:axId val="86582016"/>
        <c:scaling>
          <c:orientation val="minMax"/>
        </c:scaling>
        <c:axPos val="l"/>
        <c:majorGridlines/>
        <c:numFmt formatCode="0" sourceLinked="1"/>
        <c:tickLblPos val="nextTo"/>
        <c:crossAx val="86436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834711286089423"/>
          <c:y val="0.1477642898804328"/>
          <c:w val="0.29033333333333333"/>
          <c:h val="0.33486876640420143"/>
        </c:manualLayout>
      </c:layout>
    </c:legend>
    <c:plotVisOnly val="1"/>
  </c:chart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4162729658792744"/>
          <c:y val="5.1400554097404488E-2"/>
          <c:w val="0.79136570428696185"/>
          <c:h val="0.74002697579469234"/>
        </c:manualLayout>
      </c:layout>
      <c:scatterChart>
        <c:scatterStyle val="smoothMarker"/>
        <c:ser>
          <c:idx val="0"/>
          <c:order val="0"/>
          <c:tx>
            <c:v>jl 76 exp</c:v>
          </c:tx>
          <c:xVal>
            <c:numRef>
              <c:f>agua!$A$52:$A$55</c:f>
              <c:numCache>
                <c:formatCode>0.0</c:formatCode>
                <c:ptCount val="4"/>
                <c:pt idx="0">
                  <c:v>0</c:v>
                </c:pt>
                <c:pt idx="1">
                  <c:v>4.0039999999999996</c:v>
                </c:pt>
                <c:pt idx="2">
                  <c:v>10.348000000000001</c:v>
                </c:pt>
                <c:pt idx="3">
                  <c:v>18.641999999999999</c:v>
                </c:pt>
              </c:numCache>
            </c:numRef>
          </c:xVal>
          <c:yVal>
            <c:numRef>
              <c:f>agua!$F$52:$F$55</c:f>
              <c:numCache>
                <c:formatCode>0</c:formatCode>
                <c:ptCount val="4"/>
                <c:pt idx="0">
                  <c:v>122</c:v>
                </c:pt>
                <c:pt idx="1">
                  <c:v>99</c:v>
                </c:pt>
                <c:pt idx="2">
                  <c:v>63</c:v>
                </c:pt>
              </c:numCache>
            </c:numRef>
          </c:yVal>
          <c:smooth val="1"/>
        </c:ser>
        <c:ser>
          <c:idx val="1"/>
          <c:order val="1"/>
          <c:tx>
            <c:v>jl 76 cole</c:v>
          </c:tx>
          <c:xVal>
            <c:numRef>
              <c:f>agua!$A$52:$A$55</c:f>
              <c:numCache>
                <c:formatCode>0.0</c:formatCode>
                <c:ptCount val="4"/>
                <c:pt idx="0">
                  <c:v>0</c:v>
                </c:pt>
                <c:pt idx="1">
                  <c:v>4.0039999999999996</c:v>
                </c:pt>
                <c:pt idx="2">
                  <c:v>10.348000000000001</c:v>
                </c:pt>
                <c:pt idx="3">
                  <c:v>18.641999999999999</c:v>
                </c:pt>
              </c:numCache>
            </c:numRef>
          </c:xVal>
          <c:yVal>
            <c:numRef>
              <c:f>agua!$G$52:$G$55</c:f>
              <c:numCache>
                <c:formatCode>0</c:formatCode>
                <c:ptCount val="4"/>
                <c:pt idx="0">
                  <c:v>117.91527739965863</c:v>
                </c:pt>
                <c:pt idx="1">
                  <c:v>96.701547587103221</c:v>
                </c:pt>
                <c:pt idx="2">
                  <c:v>63.09018346850894</c:v>
                </c:pt>
              </c:numCache>
            </c:numRef>
          </c:yVal>
          <c:smooth val="1"/>
        </c:ser>
        <c:axId val="86606592"/>
        <c:axId val="86608128"/>
      </c:scatterChart>
      <c:valAx>
        <c:axId val="86606592"/>
        <c:scaling>
          <c:orientation val="minMax"/>
        </c:scaling>
        <c:axPos val="b"/>
        <c:numFmt formatCode="0.0" sourceLinked="1"/>
        <c:tickLblPos val="nextTo"/>
        <c:crossAx val="86608128"/>
        <c:crosses val="autoZero"/>
        <c:crossBetween val="midCat"/>
      </c:valAx>
      <c:valAx>
        <c:axId val="86608128"/>
        <c:scaling>
          <c:orientation val="minMax"/>
        </c:scaling>
        <c:axPos val="l"/>
        <c:majorGridlines/>
        <c:numFmt formatCode="0" sourceLinked="1"/>
        <c:tickLblPos val="nextTo"/>
        <c:crossAx val="86606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834711286089445"/>
          <c:y val="0.14776428988043297"/>
          <c:w val="0.29033333333333333"/>
          <c:h val="0.33486876640420177"/>
        </c:manualLayout>
      </c:layout>
    </c:legend>
    <c:plotVisOnly val="1"/>
  </c:chart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6643285214348241"/>
          <c:y val="2.8252405949256338E-2"/>
          <c:w val="0.77469903762030334"/>
          <c:h val="0.74928623505395153"/>
        </c:manualLayout>
      </c:layout>
      <c:scatterChart>
        <c:scatterStyle val="smoothMarker"/>
        <c:ser>
          <c:idx val="0"/>
          <c:order val="0"/>
          <c:tx>
            <c:v>jl 96 exp</c:v>
          </c:tx>
          <c:xVal>
            <c:numRef>
              <c:f>agua!$A$44:$A$47</c:f>
              <c:numCache>
                <c:formatCode>0.0</c:formatCode>
                <c:ptCount val="4"/>
                <c:pt idx="0">
                  <c:v>0</c:v>
                </c:pt>
                <c:pt idx="1">
                  <c:v>4.0039999999999996</c:v>
                </c:pt>
                <c:pt idx="2">
                  <c:v>10.348000000000001</c:v>
                </c:pt>
                <c:pt idx="3">
                  <c:v>18.641999999999999</c:v>
                </c:pt>
              </c:numCache>
            </c:numRef>
          </c:xVal>
          <c:yVal>
            <c:numRef>
              <c:f>agua!$F$44:$F$47</c:f>
              <c:numCache>
                <c:formatCode>0</c:formatCode>
                <c:ptCount val="4"/>
                <c:pt idx="0">
                  <c:v>87</c:v>
                </c:pt>
                <c:pt idx="1">
                  <c:v>70</c:v>
                </c:pt>
                <c:pt idx="2">
                  <c:v>46</c:v>
                </c:pt>
              </c:numCache>
            </c:numRef>
          </c:yVal>
          <c:smooth val="1"/>
        </c:ser>
        <c:ser>
          <c:idx val="1"/>
          <c:order val="1"/>
          <c:tx>
            <c:v>jl 96 cole</c:v>
          </c:tx>
          <c:xVal>
            <c:numRef>
              <c:f>agua!$A$44:$A$47</c:f>
              <c:numCache>
                <c:formatCode>0.0</c:formatCode>
                <c:ptCount val="4"/>
                <c:pt idx="0">
                  <c:v>0</c:v>
                </c:pt>
                <c:pt idx="1">
                  <c:v>4.0039999999999996</c:v>
                </c:pt>
                <c:pt idx="2">
                  <c:v>10.348000000000001</c:v>
                </c:pt>
                <c:pt idx="3">
                  <c:v>18.641999999999999</c:v>
                </c:pt>
              </c:numCache>
            </c:numRef>
          </c:xVal>
          <c:yVal>
            <c:numRef>
              <c:f>agua!$G$44:$G$47</c:f>
              <c:numCache>
                <c:formatCode>0</c:formatCode>
                <c:ptCount val="4"/>
                <c:pt idx="0">
                  <c:v>85.1391851026507</c:v>
                </c:pt>
                <c:pt idx="1">
                  <c:v>69.822088717360728</c:v>
                </c:pt>
                <c:pt idx="2">
                  <c:v>45.553442496511707</c:v>
                </c:pt>
              </c:numCache>
            </c:numRef>
          </c:yVal>
          <c:smooth val="1"/>
        </c:ser>
        <c:axId val="86624512"/>
        <c:axId val="89980928"/>
      </c:scatterChart>
      <c:valAx>
        <c:axId val="86624512"/>
        <c:scaling>
          <c:orientation val="minMax"/>
        </c:scaling>
        <c:axPos val="b"/>
        <c:numFmt formatCode="0.0" sourceLinked="1"/>
        <c:tickLblPos val="nextTo"/>
        <c:crossAx val="89980928"/>
        <c:crosses val="autoZero"/>
        <c:crossBetween val="midCat"/>
      </c:valAx>
      <c:valAx>
        <c:axId val="89980928"/>
        <c:scaling>
          <c:orientation val="minMax"/>
        </c:scaling>
        <c:axPos val="l"/>
        <c:majorGridlines/>
        <c:numFmt formatCode="0" sourceLinked="1"/>
        <c:tickLblPos val="nextTo"/>
        <c:crossAx val="86624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763779527559"/>
          <c:y val="0.13387540099154269"/>
          <c:w val="0.18368066491688537"/>
          <c:h val="0.16743438320210058"/>
        </c:manualLayout>
      </c:layout>
    </c:legend>
    <c:plotVisOnly val="1"/>
  </c:chart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152400</xdr:colOff>
      <xdr:row>4</xdr:row>
      <xdr:rowOff>95250</xdr:rowOff>
    </xdr:from>
    <xdr:to>
      <xdr:col>25</xdr:col>
      <xdr:colOff>449580</xdr:colOff>
      <xdr:row>20</xdr:row>
      <xdr:rowOff>20955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01450" y="819150"/>
          <a:ext cx="4297680" cy="3021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18916</xdr:colOff>
      <xdr:row>33</xdr:row>
      <xdr:rowOff>175654</xdr:rowOff>
    </xdr:from>
    <xdr:to>
      <xdr:col>27</xdr:col>
      <xdr:colOff>323715</xdr:colOff>
      <xdr:row>49</xdr:row>
      <xdr:rowOff>13014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596498</xdr:colOff>
      <xdr:row>34</xdr:row>
      <xdr:rowOff>716</xdr:rowOff>
    </xdr:from>
    <xdr:to>
      <xdr:col>19</xdr:col>
      <xdr:colOff>411542</xdr:colOff>
      <xdr:row>48</xdr:row>
      <xdr:rowOff>10241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49</xdr:row>
      <xdr:rowOff>38100</xdr:rowOff>
    </xdr:from>
    <xdr:to>
      <xdr:col>19</xdr:col>
      <xdr:colOff>399244</xdr:colOff>
      <xdr:row>63</xdr:row>
      <xdr:rowOff>73025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901700</xdr:colOff>
      <xdr:row>50</xdr:row>
      <xdr:rowOff>165100</xdr:rowOff>
    </xdr:from>
    <xdr:to>
      <xdr:col>27</xdr:col>
      <xdr:colOff>253999</xdr:colOff>
      <xdr:row>66</xdr:row>
      <xdr:rowOff>27860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3"/>
  <sheetViews>
    <sheetView tabSelected="1" zoomScaleNormal="100" workbookViewId="0">
      <selection activeCell="A15" sqref="A15"/>
    </sheetView>
  </sheetViews>
  <sheetFormatPr defaultRowHeight="15"/>
  <cols>
    <col min="1" max="1" width="8.7109375" customWidth="1"/>
    <col min="2" max="2" width="12.28515625" customWidth="1"/>
    <col min="3" max="5" width="8.7109375" customWidth="1"/>
    <col min="6" max="6" width="9.7109375" customWidth="1"/>
    <col min="7" max="10" width="8.7109375" customWidth="1"/>
    <col min="11" max="11" width="12.28515625" customWidth="1"/>
    <col min="12" max="16" width="8.7109375" customWidth="1"/>
    <col min="17" max="17" width="13.28515625" customWidth="1"/>
    <col min="20" max="20" width="13.85546875" customWidth="1"/>
    <col min="30" max="30" width="10.42578125" bestFit="1" customWidth="1"/>
  </cols>
  <sheetData>
    <row r="1" spans="1:27">
      <c r="A1" s="2" t="s">
        <v>0</v>
      </c>
      <c r="B1" s="6">
        <f>0.001/B2</f>
        <v>1.002004008016032E-6</v>
      </c>
      <c r="C1" s="2"/>
      <c r="H1" s="2" t="s">
        <v>39</v>
      </c>
      <c r="I1" s="2" t="s">
        <v>40</v>
      </c>
      <c r="J1" s="2">
        <v>10.199999999999999</v>
      </c>
      <c r="K1" s="2" t="s">
        <v>37</v>
      </c>
      <c r="P1" t="s">
        <v>53</v>
      </c>
      <c r="Q1" t="s">
        <v>32</v>
      </c>
    </row>
    <row r="2" spans="1:27">
      <c r="A2" s="2" t="s">
        <v>1</v>
      </c>
      <c r="B2" s="2">
        <v>998</v>
      </c>
      <c r="C2" s="2" t="s">
        <v>31</v>
      </c>
      <c r="H2" s="2" t="s">
        <v>41</v>
      </c>
      <c r="I2" s="2" t="s">
        <v>40</v>
      </c>
      <c r="J2" s="3">
        <f>1/J1</f>
        <v>9.8039215686274522E-2</v>
      </c>
      <c r="K2" s="2" t="s">
        <v>26</v>
      </c>
      <c r="N2" s="45" t="s">
        <v>48</v>
      </c>
      <c r="O2" s="45"/>
      <c r="P2">
        <f>153*26</f>
        <v>3978</v>
      </c>
      <c r="Q2">
        <f>($P$6-P2)/1000</f>
        <v>22.256</v>
      </c>
      <c r="R2" s="16">
        <f>(P2-$P$2)/1000</f>
        <v>0</v>
      </c>
      <c r="AA2">
        <v>3990</v>
      </c>
    </row>
    <row r="3" spans="1:27">
      <c r="A3" s="2"/>
      <c r="B3" s="2"/>
      <c r="C3" s="2"/>
      <c r="H3" s="2" t="s">
        <v>42</v>
      </c>
      <c r="I3" s="2" t="s">
        <v>40</v>
      </c>
      <c r="J3" s="2">
        <v>0.01</v>
      </c>
      <c r="K3" s="2" t="s">
        <v>26</v>
      </c>
      <c r="N3" s="45" t="s">
        <v>49</v>
      </c>
      <c r="O3" s="45"/>
      <c r="P3">
        <f>307*26</f>
        <v>7982</v>
      </c>
      <c r="Q3">
        <f t="shared" ref="Q3:Q6" si="0">($P$6-P3)/1000</f>
        <v>18.251999999999999</v>
      </c>
      <c r="R3" s="16">
        <f t="shared" ref="R3:R6" si="1">(P3-$P$2)/1000</f>
        <v>4.0039999999999996</v>
      </c>
      <c r="AA3">
        <v>8000</v>
      </c>
    </row>
    <row r="4" spans="1:27">
      <c r="A4" s="2" t="s">
        <v>7</v>
      </c>
      <c r="B4" s="2">
        <f>26/1000</f>
        <v>2.5999999999999999E-2</v>
      </c>
      <c r="C4" s="2" t="s">
        <v>32</v>
      </c>
      <c r="H4" s="2" t="s">
        <v>39</v>
      </c>
      <c r="I4" s="2" t="s">
        <v>40</v>
      </c>
      <c r="J4" s="2">
        <f>1/J3</f>
        <v>100</v>
      </c>
      <c r="K4" s="2" t="s">
        <v>43</v>
      </c>
      <c r="N4" s="45" t="s">
        <v>50</v>
      </c>
      <c r="O4" s="45"/>
      <c r="P4">
        <f>551*26</f>
        <v>14326</v>
      </c>
      <c r="Q4">
        <f t="shared" si="0"/>
        <v>11.907999999999999</v>
      </c>
      <c r="R4" s="16">
        <f t="shared" si="1"/>
        <v>10.348000000000001</v>
      </c>
      <c r="AA4">
        <v>14360</v>
      </c>
    </row>
    <row r="5" spans="1:27">
      <c r="A5" s="2" t="s">
        <v>3</v>
      </c>
      <c r="B5" s="2">
        <f>B4</f>
        <v>2.5999999999999999E-2</v>
      </c>
      <c r="C5" s="2" t="s">
        <v>32</v>
      </c>
      <c r="N5" s="45" t="s">
        <v>51</v>
      </c>
      <c r="O5" s="45"/>
      <c r="P5">
        <f>870*26</f>
        <v>22620</v>
      </c>
      <c r="Q5">
        <f t="shared" si="0"/>
        <v>3.6139999999999999</v>
      </c>
      <c r="R5" s="16">
        <f t="shared" si="1"/>
        <v>18.641999999999999</v>
      </c>
      <c r="AA5">
        <v>22605</v>
      </c>
    </row>
    <row r="6" spans="1:27">
      <c r="A6" s="2" t="s">
        <v>18</v>
      </c>
      <c r="B6" s="2">
        <f>PI()*B4</f>
        <v>8.168140899333462E-2</v>
      </c>
      <c r="C6" s="2" t="s">
        <v>32</v>
      </c>
      <c r="N6" s="45" t="s">
        <v>52</v>
      </c>
      <c r="O6" s="45"/>
      <c r="P6">
        <f>1009*26</f>
        <v>26234</v>
      </c>
      <c r="Q6">
        <f t="shared" si="0"/>
        <v>0</v>
      </c>
      <c r="R6" s="16">
        <f t="shared" si="1"/>
        <v>22.256</v>
      </c>
      <c r="AA6">
        <v>26055</v>
      </c>
    </row>
    <row r="7" spans="1:27">
      <c r="A7" s="2" t="s">
        <v>19</v>
      </c>
      <c r="B7" s="2">
        <f>PI()*B4^2/4</f>
        <v>5.3092915845667494E-4</v>
      </c>
      <c r="C7" s="2" t="s">
        <v>33</v>
      </c>
    </row>
    <row r="8" spans="1:27">
      <c r="A8" s="2" t="s">
        <v>20</v>
      </c>
      <c r="B8" s="2">
        <f>B6/B7</f>
        <v>153.84615384615387</v>
      </c>
      <c r="C8" s="2" t="s">
        <v>34</v>
      </c>
    </row>
    <row r="9" spans="1:27">
      <c r="E9" s="46">
        <f>E14*4</f>
        <v>2.8325180751966796E-2</v>
      </c>
      <c r="T9" s="9"/>
    </row>
    <row r="10" spans="1:27">
      <c r="B10" s="1"/>
    </row>
    <row r="11" spans="1:27">
      <c r="E11" t="s">
        <v>10</v>
      </c>
      <c r="I11" s="2"/>
      <c r="J11" s="2" t="s">
        <v>10</v>
      </c>
      <c r="K11" s="43" t="s">
        <v>36</v>
      </c>
      <c r="L11" s="2" t="s">
        <v>10</v>
      </c>
      <c r="M11" s="43" t="s">
        <v>36</v>
      </c>
      <c r="N11" s="2" t="s">
        <v>10</v>
      </c>
      <c r="O11" s="43" t="s">
        <v>36</v>
      </c>
      <c r="P11" s="32" t="s">
        <v>10</v>
      </c>
      <c r="Q11" s="32" t="s">
        <v>36</v>
      </c>
    </row>
    <row r="12" spans="1:27" s="9" customFormat="1" ht="18">
      <c r="A12" s="5">
        <v>1</v>
      </c>
      <c r="B12" s="9" t="s">
        <v>16</v>
      </c>
      <c r="C12" s="9" t="s">
        <v>2</v>
      </c>
      <c r="D12" s="9" t="s">
        <v>15</v>
      </c>
      <c r="E12" s="9" t="s">
        <v>4</v>
      </c>
      <c r="F12" s="9" t="s">
        <v>11</v>
      </c>
      <c r="G12" s="9" t="s">
        <v>12</v>
      </c>
      <c r="H12" s="9" t="s">
        <v>13</v>
      </c>
      <c r="I12" s="9" t="s">
        <v>14</v>
      </c>
      <c r="J12" s="9" t="s">
        <v>5</v>
      </c>
      <c r="K12" s="9" t="s">
        <v>5</v>
      </c>
      <c r="L12" s="9" t="s">
        <v>21</v>
      </c>
      <c r="M12" s="9" t="s">
        <v>21</v>
      </c>
      <c r="N12" s="9" t="s">
        <v>22</v>
      </c>
      <c r="O12" s="9" t="s">
        <v>22</v>
      </c>
      <c r="P12" s="9" t="s">
        <v>22</v>
      </c>
      <c r="Q12" s="9" t="s">
        <v>22</v>
      </c>
    </row>
    <row r="13" spans="1:27" s="9" customFormat="1">
      <c r="B13" s="9" t="s">
        <v>17</v>
      </c>
      <c r="C13" s="9" t="s">
        <v>6</v>
      </c>
      <c r="D13" s="9" t="s">
        <v>8</v>
      </c>
      <c r="E13" s="9" t="s">
        <v>8</v>
      </c>
      <c r="J13" s="9" t="s">
        <v>9</v>
      </c>
      <c r="K13" s="9" t="s">
        <v>9</v>
      </c>
      <c r="L13" s="9" t="s">
        <v>23</v>
      </c>
      <c r="M13" s="9" t="s">
        <v>23</v>
      </c>
      <c r="N13" s="9" t="s">
        <v>24</v>
      </c>
      <c r="O13" s="9" t="s">
        <v>24</v>
      </c>
      <c r="P13" s="9" t="s">
        <v>25</v>
      </c>
      <c r="Q13" s="9" t="s">
        <v>25</v>
      </c>
    </row>
    <row r="14" spans="1:27" s="9" customFormat="1" ht="15.75">
      <c r="A14" s="35">
        <v>60</v>
      </c>
      <c r="B14" s="36">
        <f t="shared" ref="B14:B17" si="2">$A$12*A14</f>
        <v>60</v>
      </c>
      <c r="C14" s="11">
        <f>B14/100</f>
        <v>0.6</v>
      </c>
      <c r="D14" s="31">
        <f>C14*1*$B$4/$B$1</f>
        <v>15568.8</v>
      </c>
      <c r="E14" s="31">
        <f>0.0791*D14^-0.25</f>
        <v>7.0812951879916991E-3</v>
      </c>
      <c r="F14" s="31">
        <f>(-1.8*LOG10(6.9/D14))^-2</f>
        <v>2.744623029117765E-2</v>
      </c>
      <c r="G14" s="31">
        <f>(-2*LOG10(2.51/(D14*F14^0.5)))^-2</f>
        <v>2.7560125070983561E-2</v>
      </c>
      <c r="H14" s="31">
        <f t="shared" ref="H14:H15" si="3">(-2*LOG10(2.51/(D14*G14^0.5)))^-2</f>
        <v>2.7543675174046239E-2</v>
      </c>
      <c r="I14" s="31">
        <f>H14/4</f>
        <v>6.8859187935115598E-3</v>
      </c>
      <c r="J14" s="14">
        <f>E14*C14^2/2</f>
        <v>1.2746331338385059E-3</v>
      </c>
      <c r="K14" s="14">
        <f>I14*C14^2/2</f>
        <v>1.2394653828320806E-3</v>
      </c>
      <c r="L14" s="11">
        <f>J14*$B$2</f>
        <v>1.2720838675708288</v>
      </c>
      <c r="M14" s="11">
        <f>K14*$B$2</f>
        <v>1.2369864520664164</v>
      </c>
      <c r="N14" s="7">
        <f>L14*$B$8</f>
        <v>195.70521039551215</v>
      </c>
      <c r="O14" s="7">
        <f>M14*$B$8</f>
        <v>190.30560801021795</v>
      </c>
      <c r="P14" s="12">
        <f>N14*0.01</f>
        <v>1.9570521039551216</v>
      </c>
      <c r="Q14" s="10">
        <f>O14*0.01</f>
        <v>1.9030560801021796</v>
      </c>
      <c r="R14" s="12"/>
      <c r="S14" s="12"/>
      <c r="T14" s="12"/>
      <c r="U14" s="12"/>
    </row>
    <row r="15" spans="1:27" s="9" customFormat="1" ht="15.75">
      <c r="A15" s="35">
        <v>120</v>
      </c>
      <c r="B15" s="36">
        <f t="shared" si="2"/>
        <v>120</v>
      </c>
      <c r="C15" s="11">
        <f t="shared" ref="C15:C19" si="4">B15/100</f>
        <v>1.2</v>
      </c>
      <c r="D15" s="31">
        <f t="shared" ref="D15:D19" si="5">C15*1*$B$4/$B$1</f>
        <v>31137.599999999999</v>
      </c>
      <c r="E15" s="31">
        <f t="shared" ref="E15" si="6">0.0791*D15^-0.25</f>
        <v>5.9546357389355974E-3</v>
      </c>
      <c r="F15" s="31">
        <f t="shared" ref="F15" si="7">(-1.8*LOG10(6.9/D15))^-2</f>
        <v>2.3110761631290413E-2</v>
      </c>
      <c r="G15" s="31">
        <f t="shared" ref="G15" si="8">(-2*LOG10(2.51/(D15*F15^0.5)))^-2</f>
        <v>2.3301285653749941E-2</v>
      </c>
      <c r="H15" s="31">
        <f t="shared" si="3"/>
        <v>2.3275941305514389E-2</v>
      </c>
      <c r="I15" s="31">
        <f t="shared" ref="I15" si="9">H15/4</f>
        <v>5.8189853263785974E-3</v>
      </c>
      <c r="J15" s="10">
        <f t="shared" ref="J15" si="10">E15*C15^2/2</f>
        <v>4.2873377320336303E-3</v>
      </c>
      <c r="K15" s="10">
        <f t="shared" ref="K14:K19" si="11">I15*C15^2/2</f>
        <v>4.1896694349925897E-3</v>
      </c>
      <c r="L15" s="11">
        <f t="shared" ref="L14:L19" si="12">J15*$B$2</f>
        <v>4.2787630565695629</v>
      </c>
      <c r="M15" s="11">
        <f t="shared" ref="M14:M19" si="13">K15*$B$2</f>
        <v>4.1812900961226047</v>
      </c>
      <c r="N15" s="7">
        <f t="shared" ref="N14:O19" si="14">L15*$B$8</f>
        <v>658.2712394722405</v>
      </c>
      <c r="O15" s="7">
        <f t="shared" si="14"/>
        <v>643.27539940347776</v>
      </c>
      <c r="P15" s="12">
        <f t="shared" ref="P14:Q19" si="15">N15*0.01</f>
        <v>6.5827123947224049</v>
      </c>
      <c r="Q15" s="12">
        <f t="shared" si="15"/>
        <v>6.432753994034778</v>
      </c>
      <c r="R15" s="12"/>
      <c r="S15" s="12"/>
      <c r="T15" s="12"/>
      <c r="U15" s="12"/>
    </row>
    <row r="16" spans="1:27" s="9" customFormat="1" ht="15.75">
      <c r="A16" s="35">
        <v>88</v>
      </c>
      <c r="B16" s="36">
        <f t="shared" si="2"/>
        <v>88</v>
      </c>
      <c r="C16" s="11">
        <f t="shared" si="4"/>
        <v>0.88</v>
      </c>
      <c r="D16" s="31">
        <f t="shared" si="5"/>
        <v>22834.239999999998</v>
      </c>
      <c r="E16" s="31">
        <f t="shared" ref="E16" si="16">0.0791*D16^-0.25</f>
        <v>6.4347228056025009E-3</v>
      </c>
      <c r="F16" s="31">
        <f t="shared" ref="F16" si="17">(-1.8*LOG10(6.9/D16))^-2</f>
        <v>2.4913482926461946E-2</v>
      </c>
      <c r="G16" s="31">
        <f t="shared" ref="G16" si="18">(-2*LOG10(2.51/(D16*F16^0.5)))^-2</f>
        <v>2.5081589820016653E-2</v>
      </c>
      <c r="H16" s="31">
        <f t="shared" ref="H16" si="19">(-2*LOG10(2.51/(D16*G16^0.5)))^-2</f>
        <v>2.5058403297900891E-2</v>
      </c>
      <c r="I16" s="31">
        <f t="shared" ref="I16" si="20">H16/4</f>
        <v>6.2646008244752228E-3</v>
      </c>
      <c r="J16" s="10">
        <f t="shared" ref="J16" si="21">E16*C16^2/2</f>
        <v>2.4915246703292883E-3</v>
      </c>
      <c r="K16" s="10">
        <f t="shared" si="11"/>
        <v>2.4256534392368061E-3</v>
      </c>
      <c r="L16" s="11">
        <f t="shared" si="12"/>
        <v>2.4865416209886297</v>
      </c>
      <c r="M16" s="11">
        <f t="shared" si="13"/>
        <v>2.4208021323583324</v>
      </c>
      <c r="N16" s="7">
        <f t="shared" si="14"/>
        <v>382.54486476748156</v>
      </c>
      <c r="O16" s="7">
        <f t="shared" si="14"/>
        <v>372.43109728589735</v>
      </c>
      <c r="P16" s="12">
        <f t="shared" si="15"/>
        <v>3.8254486476748157</v>
      </c>
      <c r="Q16" s="12">
        <f t="shared" si="15"/>
        <v>3.7243109728589734</v>
      </c>
      <c r="R16" s="12"/>
      <c r="S16" s="12"/>
      <c r="T16" s="12"/>
      <c r="U16" s="12"/>
    </row>
    <row r="17" spans="1:31" s="9" customFormat="1" ht="15.75">
      <c r="A17" s="35">
        <v>106</v>
      </c>
      <c r="B17" s="36">
        <f t="shared" si="2"/>
        <v>106</v>
      </c>
      <c r="C17" s="11">
        <f t="shared" si="4"/>
        <v>1.06</v>
      </c>
      <c r="D17" s="31">
        <f t="shared" si="5"/>
        <v>27504.880000000001</v>
      </c>
      <c r="E17" s="31">
        <f t="shared" ref="E17:E19" si="22">0.0791*D17^-0.25</f>
        <v>6.1422012897868004E-3</v>
      </c>
      <c r="F17" s="31">
        <f t="shared" ref="F17:F19" si="23">(-1.8*LOG10(6.9/D17))^-2</f>
        <v>2.3807551079978607E-2</v>
      </c>
      <c r="G17" s="31">
        <f t="shared" ref="G17:G19" si="24">(-2*LOG10(2.51/(D17*F17^0.5)))^-2</f>
        <v>2.3990971019884441E-2</v>
      </c>
      <c r="H17" s="31">
        <f t="shared" ref="H17:H19" si="25">(-2*LOG10(2.51/(D17*G17^0.5)))^-2</f>
        <v>2.396621880671743E-2</v>
      </c>
      <c r="I17" s="31">
        <f t="shared" ref="I17:I19" si="26">H17/4</f>
        <v>5.9915547016793575E-3</v>
      </c>
      <c r="J17" s="10">
        <f t="shared" ref="J17:J19" si="27">E17*C17^2/2</f>
        <v>3.4506886846022251E-3</v>
      </c>
      <c r="K17" s="10">
        <f t="shared" si="11"/>
        <v>3.3660554314034635E-3</v>
      </c>
      <c r="L17" s="11">
        <f t="shared" si="12"/>
        <v>3.4437873072330207</v>
      </c>
      <c r="M17" s="11">
        <f t="shared" si="13"/>
        <v>3.3593233205406565</v>
      </c>
      <c r="N17" s="7">
        <f t="shared" si="14"/>
        <v>529.81343188200321</v>
      </c>
      <c r="O17" s="7">
        <f t="shared" si="14"/>
        <v>516.81897239087027</v>
      </c>
      <c r="P17" s="12">
        <f t="shared" si="15"/>
        <v>5.2981343188200318</v>
      </c>
      <c r="Q17" s="12">
        <f t="shared" si="15"/>
        <v>5.1681897239087027</v>
      </c>
      <c r="R17" s="12"/>
      <c r="S17" s="12"/>
      <c r="T17" s="12"/>
      <c r="U17" s="12"/>
    </row>
    <row r="18" spans="1:31" s="9" customFormat="1" ht="15.75">
      <c r="A18" s="35">
        <v>100</v>
      </c>
      <c r="B18" s="36">
        <f>A18</f>
        <v>100</v>
      </c>
      <c r="C18" s="11">
        <f t="shared" si="4"/>
        <v>1</v>
      </c>
      <c r="D18" s="31">
        <f t="shared" si="5"/>
        <v>25948</v>
      </c>
      <c r="E18" s="31">
        <f t="shared" si="22"/>
        <v>6.2323310066500701E-3</v>
      </c>
      <c r="F18" s="31">
        <f t="shared" si="23"/>
        <v>2.4145766326481216E-2</v>
      </c>
      <c r="G18" s="31">
        <f t="shared" si="24"/>
        <v>2.4325032683532775E-2</v>
      </c>
      <c r="H18" s="31">
        <f t="shared" si="25"/>
        <v>2.4300675966491193E-2</v>
      </c>
      <c r="I18" s="31">
        <f t="shared" si="26"/>
        <v>6.0751689916227983E-3</v>
      </c>
      <c r="J18" s="10">
        <f t="shared" si="27"/>
        <v>3.116165503325035E-3</v>
      </c>
      <c r="K18" s="10">
        <f t="shared" si="11"/>
        <v>3.0375844958113992E-3</v>
      </c>
      <c r="L18" s="11">
        <f t="shared" si="12"/>
        <v>3.1099331723183852</v>
      </c>
      <c r="M18" s="11">
        <f t="shared" si="13"/>
        <v>3.0315093268197764</v>
      </c>
      <c r="N18" s="7">
        <f t="shared" si="14"/>
        <v>478.45125727975164</v>
      </c>
      <c r="O18" s="7">
        <f t="shared" si="14"/>
        <v>466.38605027996567</v>
      </c>
      <c r="P18" s="12">
        <f t="shared" si="15"/>
        <v>4.7845125727975164</v>
      </c>
      <c r="Q18" s="12">
        <f t="shared" si="15"/>
        <v>4.6638605027996567</v>
      </c>
      <c r="R18" s="12"/>
      <c r="S18" s="12"/>
      <c r="T18" s="12"/>
      <c r="U18" s="12"/>
    </row>
    <row r="19" spans="1:31" s="9" customFormat="1" ht="15.75">
      <c r="A19" s="35">
        <v>59</v>
      </c>
      <c r="B19" s="36">
        <f>A19</f>
        <v>59</v>
      </c>
      <c r="C19" s="11">
        <f t="shared" si="4"/>
        <v>0.59</v>
      </c>
      <c r="D19" s="31">
        <f t="shared" si="5"/>
        <v>15309.319999999998</v>
      </c>
      <c r="E19" s="31">
        <f t="shared" si="22"/>
        <v>7.1111118271112352E-3</v>
      </c>
      <c r="F19" s="31">
        <f t="shared" si="23"/>
        <v>2.7566103987494813E-2</v>
      </c>
      <c r="G19" s="31">
        <f t="shared" si="24"/>
        <v>2.7676760166767608E-2</v>
      </c>
      <c r="H19" s="31">
        <f t="shared" si="25"/>
        <v>2.7660745101407914E-2</v>
      </c>
      <c r="I19" s="31">
        <f t="shared" si="26"/>
        <v>6.9151862753519784E-3</v>
      </c>
      <c r="J19" s="10">
        <f t="shared" si="27"/>
        <v>1.2376890135087104E-3</v>
      </c>
      <c r="K19" s="10">
        <f t="shared" si="11"/>
        <v>1.2035881712250118E-3</v>
      </c>
      <c r="L19" s="11">
        <f t="shared" si="12"/>
        <v>1.2352136354816929</v>
      </c>
      <c r="M19" s="11">
        <f t="shared" si="13"/>
        <v>1.2011809948825618</v>
      </c>
      <c r="N19" s="7">
        <f t="shared" si="14"/>
        <v>190.03286699718356</v>
      </c>
      <c r="O19" s="7">
        <f t="shared" si="14"/>
        <v>184.79707613577875</v>
      </c>
      <c r="P19" s="12">
        <f t="shared" si="15"/>
        <v>1.9003286699718356</v>
      </c>
      <c r="Q19" s="12">
        <f t="shared" si="15"/>
        <v>1.8479707613577876</v>
      </c>
      <c r="R19" s="12"/>
      <c r="S19" s="12"/>
      <c r="T19" s="12"/>
      <c r="U19" s="12"/>
    </row>
    <row r="20" spans="1:31" s="9" customFormat="1" ht="15.75">
      <c r="A20" s="35"/>
      <c r="B20" s="36"/>
      <c r="D20" s="31"/>
      <c r="E20" s="31"/>
      <c r="F20" s="31"/>
      <c r="G20" s="31"/>
      <c r="H20" s="31"/>
      <c r="I20" s="31"/>
      <c r="J20" s="10"/>
      <c r="K20" s="10"/>
      <c r="L20" s="11"/>
      <c r="M20" s="11"/>
      <c r="N20" s="7"/>
      <c r="O20" s="7"/>
      <c r="P20" s="12"/>
      <c r="Q20" s="12"/>
      <c r="R20" s="12"/>
      <c r="S20" s="12"/>
      <c r="T20" s="12"/>
      <c r="U20" s="12"/>
    </row>
    <row r="21" spans="1:31" s="9" customFormat="1">
      <c r="A21" s="30"/>
      <c r="C21" s="8"/>
      <c r="D21" s="8"/>
      <c r="E21" s="8"/>
      <c r="F21" s="8"/>
      <c r="G21" s="8"/>
      <c r="H21" s="8"/>
      <c r="I21" s="10"/>
      <c r="J21" s="10"/>
      <c r="K21" s="11"/>
      <c r="L21" s="11"/>
      <c r="M21" s="7"/>
      <c r="N21" s="7"/>
      <c r="O21" s="12"/>
      <c r="P21" s="12"/>
      <c r="Q21" s="12"/>
      <c r="R21" s="12"/>
      <c r="S21" s="12"/>
      <c r="T21" s="12"/>
    </row>
    <row r="22" spans="1:31" s="9" customFormat="1">
      <c r="A22" s="17"/>
      <c r="C22" s="8"/>
      <c r="D22" s="8"/>
      <c r="E22" s="8"/>
      <c r="F22" s="8"/>
      <c r="G22" s="8"/>
      <c r="H22" s="8"/>
      <c r="I22" s="10"/>
      <c r="J22" s="10"/>
      <c r="K22" s="11"/>
      <c r="L22" s="11"/>
      <c r="M22" s="7"/>
      <c r="N22" s="7"/>
      <c r="O22" s="12"/>
      <c r="P22" s="12"/>
      <c r="Q22" s="12"/>
      <c r="R22" s="12"/>
      <c r="S22" s="12"/>
      <c r="T22" s="12"/>
    </row>
    <row r="23" spans="1:31" s="9" customFormat="1" ht="23.45" customHeight="1">
      <c r="A23" s="17"/>
      <c r="C23" s="8"/>
      <c r="D23" s="8"/>
      <c r="E23" s="8"/>
      <c r="F23" s="8"/>
      <c r="G23" s="8"/>
      <c r="H23" s="8"/>
      <c r="I23" s="10"/>
      <c r="J23" s="10"/>
      <c r="K23" s="11"/>
      <c r="L23" s="11"/>
      <c r="M23" s="7"/>
      <c r="N23" s="7"/>
      <c r="O23" s="12"/>
      <c r="P23" s="12"/>
      <c r="Q23" s="37" t="s">
        <v>56</v>
      </c>
      <c r="R23" s="12"/>
      <c r="S23" s="12"/>
      <c r="T23" s="12"/>
    </row>
    <row r="24" spans="1:31" s="2" customFormat="1">
      <c r="C24" s="8"/>
      <c r="D24" s="6"/>
      <c r="E24" s="6"/>
      <c r="F24" s="6"/>
      <c r="G24" s="6"/>
      <c r="H24" s="6"/>
      <c r="I24" s="3"/>
      <c r="J24" s="3"/>
      <c r="K24" s="5"/>
      <c r="L24" s="5"/>
      <c r="M24" s="44" t="s">
        <v>54</v>
      </c>
      <c r="N24" s="44"/>
      <c r="O24" s="44"/>
      <c r="P24" s="44"/>
      <c r="Q24" s="44"/>
      <c r="R24" s="5"/>
    </row>
    <row r="25" spans="1:31">
      <c r="A25" s="18"/>
      <c r="B25" s="18"/>
      <c r="C25" s="18" t="s">
        <v>16</v>
      </c>
      <c r="D25" s="18" t="s">
        <v>35</v>
      </c>
      <c r="E25" s="18" t="s">
        <v>44</v>
      </c>
      <c r="F25" s="18" t="s">
        <v>45</v>
      </c>
      <c r="G25" s="19" t="s">
        <v>10</v>
      </c>
      <c r="H25" s="18" t="s">
        <v>36</v>
      </c>
      <c r="I25" s="19" t="s">
        <v>38</v>
      </c>
      <c r="J25" s="19" t="s">
        <v>38</v>
      </c>
      <c r="K25" s="5" t="s">
        <v>55</v>
      </c>
      <c r="L25" s="5"/>
      <c r="M25" s="33">
        <f>A14</f>
        <v>60</v>
      </c>
      <c r="N25" s="34" t="s">
        <v>46</v>
      </c>
      <c r="O25" s="34">
        <f>B14</f>
        <v>60</v>
      </c>
      <c r="P25" s="34">
        <f>O25/M25</f>
        <v>1</v>
      </c>
      <c r="Q25" s="38">
        <f>AVERAGE(K28:K30)</f>
        <v>0.23985389686714478</v>
      </c>
    </row>
    <row r="26" spans="1:31" s="13" customFormat="1">
      <c r="A26" s="18"/>
      <c r="B26" s="18"/>
      <c r="C26" s="20">
        <f>B14</f>
        <v>60</v>
      </c>
      <c r="D26" s="18" t="s">
        <v>26</v>
      </c>
      <c r="E26" s="18" t="s">
        <v>26</v>
      </c>
      <c r="F26" s="18" t="s">
        <v>26</v>
      </c>
      <c r="G26" s="18" t="s">
        <v>26</v>
      </c>
      <c r="H26" s="18" t="s">
        <v>26</v>
      </c>
      <c r="I26" s="19" t="s">
        <v>26</v>
      </c>
      <c r="J26" s="19" t="s">
        <v>37</v>
      </c>
      <c r="K26" s="11"/>
      <c r="L26" s="11"/>
      <c r="M26" s="33">
        <f t="shared" ref="M26:M28" si="28">A15</f>
        <v>120</v>
      </c>
      <c r="N26" s="34" t="s">
        <v>47</v>
      </c>
      <c r="O26" s="34">
        <f t="shared" ref="O26:O28" si="29">B15</f>
        <v>120</v>
      </c>
      <c r="P26" s="34">
        <f t="shared" ref="P26:P28" si="30">O26/M26</f>
        <v>1</v>
      </c>
      <c r="Q26" s="39">
        <f>AVERAGE(K36:K38)</f>
        <v>3.888323527958943E-2</v>
      </c>
    </row>
    <row r="27" spans="1:31">
      <c r="A27" s="18"/>
      <c r="B27" s="18" t="s">
        <v>32</v>
      </c>
      <c r="C27" s="18"/>
      <c r="D27" s="18"/>
      <c r="E27" s="18"/>
      <c r="F27" s="18"/>
      <c r="G27" s="19"/>
      <c r="H27" s="19"/>
      <c r="I27" s="19"/>
      <c r="J27" s="19"/>
      <c r="K27" s="6"/>
      <c r="L27" s="6"/>
      <c r="M27" s="33">
        <f t="shared" si="28"/>
        <v>88</v>
      </c>
      <c r="N27" s="34" t="s">
        <v>46</v>
      </c>
      <c r="O27" s="34">
        <f t="shared" si="29"/>
        <v>88</v>
      </c>
      <c r="P27" s="34">
        <f t="shared" si="30"/>
        <v>1</v>
      </c>
      <c r="Q27" s="39">
        <f>AVERAGE(K44:K46)</f>
        <v>1.1212679515992979E-2</v>
      </c>
      <c r="R27" s="7"/>
      <c r="S27" s="7"/>
      <c r="T27" s="4"/>
      <c r="U27" s="5"/>
    </row>
    <row r="28" spans="1:31">
      <c r="A28" s="20">
        <f>R2</f>
        <v>0</v>
      </c>
      <c r="B28" s="20">
        <f>Q2</f>
        <v>22.256</v>
      </c>
      <c r="C28" s="18" t="s">
        <v>27</v>
      </c>
      <c r="D28" s="21">
        <v>73</v>
      </c>
      <c r="E28" s="21">
        <v>37</v>
      </c>
      <c r="F28" s="21">
        <f>D28-E28</f>
        <v>36</v>
      </c>
      <c r="G28" s="20">
        <f>$P$14*B28</f>
        <v>43.556151625625191</v>
      </c>
      <c r="H28" s="20">
        <f>$Q$14*B28</f>
        <v>42.354416118754109</v>
      </c>
      <c r="I28" s="22">
        <f>(F28-G28)/F28</f>
        <v>-0.20989310071181086</v>
      </c>
      <c r="J28" s="21">
        <f>(F28-G28)*$J$1</f>
        <v>-77.072746581376933</v>
      </c>
      <c r="K28" s="3">
        <f>ABS(I28)</f>
        <v>0.20989310071181086</v>
      </c>
      <c r="L28" s="6"/>
      <c r="M28" s="33">
        <f t="shared" si="28"/>
        <v>106</v>
      </c>
      <c r="N28" s="34" t="s">
        <v>47</v>
      </c>
      <c r="O28" s="34">
        <f t="shared" si="29"/>
        <v>106</v>
      </c>
      <c r="P28" s="34">
        <f t="shared" si="30"/>
        <v>1</v>
      </c>
      <c r="Q28" s="39">
        <f>AVERAGE(K52:K54)</f>
        <v>1.9376502485390249E-2</v>
      </c>
      <c r="R28" s="7"/>
      <c r="S28" s="7"/>
      <c r="T28" s="4"/>
      <c r="U28" s="5"/>
    </row>
    <row r="29" spans="1:31">
      <c r="A29" s="20">
        <f t="shared" ref="A29:A31" si="31">R3</f>
        <v>4.0039999999999996</v>
      </c>
      <c r="B29" s="20">
        <f t="shared" ref="B29:B31" si="32">Q3</f>
        <v>18.251999999999999</v>
      </c>
      <c r="C29" s="18" t="s">
        <v>28</v>
      </c>
      <c r="D29" s="21">
        <v>66.400000000000006</v>
      </c>
      <c r="E29" s="21">
        <v>37</v>
      </c>
      <c r="F29" s="21">
        <f t="shared" ref="F29:F31" si="33">D29-E29</f>
        <v>29.400000000000006</v>
      </c>
      <c r="G29" s="20">
        <f t="shared" ref="G29:G31" si="34">$P$14*B29</f>
        <v>35.720115001388876</v>
      </c>
      <c r="H29" s="20">
        <f t="shared" ref="H29:H31" si="35">$Q$14*B29</f>
        <v>34.734579574024984</v>
      </c>
      <c r="I29" s="22">
        <f t="shared" ref="I29:I30" si="36">(F29-G29)/F29</f>
        <v>-0.21496989800642413</v>
      </c>
      <c r="J29" s="21">
        <f t="shared" ref="J29:J30" si="37">(F29-G29)*$J$1</f>
        <v>-64.465173014166481</v>
      </c>
      <c r="K29" s="3">
        <f t="shared" ref="K29:K31" si="38">ABS(I29)</f>
        <v>0.21496989800642413</v>
      </c>
      <c r="L29" s="6"/>
      <c r="M29" s="34"/>
      <c r="N29" s="34"/>
      <c r="O29" s="34"/>
      <c r="P29" s="34"/>
      <c r="Q29" s="7"/>
      <c r="R29" s="7"/>
      <c r="S29" s="7"/>
      <c r="T29" s="4"/>
      <c r="U29" s="5"/>
    </row>
    <row r="30" spans="1:31">
      <c r="A30" s="20">
        <f t="shared" si="31"/>
        <v>10.348000000000001</v>
      </c>
      <c r="B30" s="20">
        <f t="shared" si="32"/>
        <v>11.907999999999999</v>
      </c>
      <c r="C30" s="18" t="s">
        <v>29</v>
      </c>
      <c r="D30" s="21">
        <v>55</v>
      </c>
      <c r="E30" s="21">
        <v>37</v>
      </c>
      <c r="F30" s="21">
        <f t="shared" si="33"/>
        <v>18</v>
      </c>
      <c r="G30" s="20">
        <f t="shared" si="34"/>
        <v>23.304576453897589</v>
      </c>
      <c r="H30" s="20">
        <f t="shared" si="35"/>
        <v>22.661591801856755</v>
      </c>
      <c r="I30" s="22">
        <f t="shared" si="36"/>
        <v>-0.29469869188319936</v>
      </c>
      <c r="J30" s="21">
        <f t="shared" si="37"/>
        <v>-54.1066798297554</v>
      </c>
      <c r="K30" s="3">
        <f t="shared" si="38"/>
        <v>0.29469869188319936</v>
      </c>
      <c r="M30" s="3"/>
      <c r="N30" s="3"/>
      <c r="O30" s="5"/>
      <c r="P30" s="5"/>
      <c r="Q30" s="38">
        <f>SUM(Q25:Q28)</f>
        <v>0.30932631414811745</v>
      </c>
    </row>
    <row r="31" spans="1:31">
      <c r="A31" s="20">
        <f t="shared" si="31"/>
        <v>18.641999999999999</v>
      </c>
      <c r="B31" s="20">
        <f>Q5</f>
        <v>3.6139999999999999</v>
      </c>
      <c r="C31" s="18" t="s">
        <v>30</v>
      </c>
      <c r="D31" s="21">
        <v>43.6</v>
      </c>
      <c r="E31" s="21">
        <v>37</v>
      </c>
      <c r="F31" s="21">
        <f t="shared" si="33"/>
        <v>6.6000000000000014</v>
      </c>
      <c r="G31" s="20">
        <f t="shared" si="34"/>
        <v>7.0727863036938095</v>
      </c>
      <c r="H31" s="20">
        <f>$Q$14*B31</f>
        <v>6.8776446734892769</v>
      </c>
      <c r="I31" s="22">
        <f t="shared" ref="I31" si="39">(F31-G31)/F31</f>
        <v>-7.1634288438455748E-2</v>
      </c>
      <c r="J31" s="21">
        <f t="shared" ref="J31" si="40">(F31-G31)*$J$1</f>
        <v>-4.8224202976768415</v>
      </c>
      <c r="K31" s="3">
        <f t="shared" si="38"/>
        <v>7.1634288438455748E-2</v>
      </c>
      <c r="M31" s="3"/>
      <c r="N31" s="3"/>
      <c r="O31" s="5"/>
      <c r="P31" s="5"/>
      <c r="Q31" s="5"/>
    </row>
    <row r="32" spans="1:31">
      <c r="A32" s="32"/>
      <c r="B32" s="32"/>
      <c r="K32" s="1"/>
      <c r="M32" s="3"/>
      <c r="N32" s="3"/>
      <c r="O32" s="5"/>
      <c r="P32" s="5"/>
      <c r="Q32" s="5"/>
      <c r="AD32">
        <v>1.1299999999999999</v>
      </c>
      <c r="AE32">
        <v>8.1999999999999993</v>
      </c>
    </row>
    <row r="33" spans="1:31">
      <c r="A33" s="24"/>
      <c r="B33" s="24"/>
      <c r="C33" s="24" t="s">
        <v>16</v>
      </c>
      <c r="D33" s="24" t="s">
        <v>35</v>
      </c>
      <c r="E33" s="24" t="s">
        <v>44</v>
      </c>
      <c r="F33" s="24" t="s">
        <v>45</v>
      </c>
      <c r="G33" s="25" t="s">
        <v>36</v>
      </c>
      <c r="H33" s="25" t="s">
        <v>10</v>
      </c>
      <c r="I33" s="25" t="s">
        <v>38</v>
      </c>
      <c r="J33" s="25" t="s">
        <v>38</v>
      </c>
      <c r="K33" s="1"/>
      <c r="M33" s="16"/>
      <c r="AD33">
        <v>1.1399999999999999</v>
      </c>
      <c r="AE33">
        <v>6.7</v>
      </c>
    </row>
    <row r="34" spans="1:31">
      <c r="A34" s="24"/>
      <c r="B34" s="24"/>
      <c r="C34" s="28">
        <f>B15</f>
        <v>120</v>
      </c>
      <c r="D34" s="24" t="s">
        <v>26</v>
      </c>
      <c r="E34" s="24" t="s">
        <v>26</v>
      </c>
      <c r="F34" s="24" t="s">
        <v>26</v>
      </c>
      <c r="G34" s="24" t="s">
        <v>26</v>
      </c>
      <c r="H34" s="24" t="s">
        <v>26</v>
      </c>
      <c r="I34" s="25" t="s">
        <v>26</v>
      </c>
      <c r="J34" s="25" t="s">
        <v>37</v>
      </c>
      <c r="K34" s="1"/>
      <c r="M34" s="16"/>
      <c r="Q34" s="9"/>
      <c r="AD34">
        <v>1.1499999999999999</v>
      </c>
      <c r="AE34">
        <v>8</v>
      </c>
    </row>
    <row r="35" spans="1:31">
      <c r="A35" s="24"/>
      <c r="B35" s="24" t="s">
        <v>32</v>
      </c>
      <c r="C35" s="24"/>
      <c r="D35" s="24"/>
      <c r="E35" s="24"/>
      <c r="F35" s="24"/>
      <c r="G35" s="25"/>
      <c r="H35" s="25"/>
      <c r="I35" s="23"/>
      <c r="J35" s="23"/>
      <c r="K35" s="1"/>
      <c r="M35" s="16"/>
      <c r="Q35" s="9"/>
      <c r="AD35">
        <v>1.1599999999999999</v>
      </c>
      <c r="AE35">
        <v>12.2</v>
      </c>
    </row>
    <row r="36" spans="1:31">
      <c r="A36" s="28">
        <f>R2</f>
        <v>0</v>
      </c>
      <c r="B36" s="28">
        <f>Q2</f>
        <v>22.256</v>
      </c>
      <c r="C36" s="24" t="s">
        <v>27</v>
      </c>
      <c r="D36" s="26">
        <v>190.5</v>
      </c>
      <c r="E36" s="26">
        <v>37</v>
      </c>
      <c r="F36" s="26">
        <f>D36-E36</f>
        <v>153.5</v>
      </c>
      <c r="G36" s="26">
        <f>$P$15*B36</f>
        <v>146.50484705694186</v>
      </c>
      <c r="H36" s="26">
        <f>$Q$15*B36</f>
        <v>143.16737289123802</v>
      </c>
      <c r="I36" s="27">
        <f>(F36-G36)/F36</f>
        <v>4.5571028945004199E-2</v>
      </c>
      <c r="J36" s="26">
        <f>(F36-G36)*$J$1</f>
        <v>71.350560019193068</v>
      </c>
      <c r="K36" s="3">
        <f>ABS(I36)</f>
        <v>4.5571028945004199E-2</v>
      </c>
      <c r="Q36" s="9"/>
    </row>
    <row r="37" spans="1:31">
      <c r="A37" s="28">
        <f t="shared" ref="A37:A39" si="41">R3</f>
        <v>4.0039999999999996</v>
      </c>
      <c r="B37" s="28">
        <f t="shared" ref="B37:B39" si="42">Q3</f>
        <v>18.251999999999999</v>
      </c>
      <c r="C37" s="24" t="s">
        <v>28</v>
      </c>
      <c r="D37" s="26">
        <v>162</v>
      </c>
      <c r="E37" s="26">
        <v>37</v>
      </c>
      <c r="F37" s="26">
        <f t="shared" ref="F37:F38" si="43">D37-E37</f>
        <v>125</v>
      </c>
      <c r="G37" s="26">
        <f t="shared" ref="G37:G38" si="44">$P$15*B37</f>
        <v>120.14766662847333</v>
      </c>
      <c r="H37" s="26">
        <f t="shared" ref="H37:H38" si="45">$Q$15*B37</f>
        <v>117.41062589912276</v>
      </c>
      <c r="I37" s="27">
        <f t="shared" ref="I37:I38" si="46">(F37-G37)/F37</f>
        <v>3.8818666972213353E-2</v>
      </c>
      <c r="J37" s="26">
        <f t="shared" ref="J37:J38" si="47">(F37-G37)*$J$1</f>
        <v>49.493800389572016</v>
      </c>
      <c r="K37" s="3">
        <f t="shared" ref="K37:K38" si="48">ABS(I37)</f>
        <v>3.8818666972213353E-2</v>
      </c>
    </row>
    <row r="38" spans="1:31">
      <c r="A38" s="28">
        <f t="shared" si="41"/>
        <v>10.348000000000001</v>
      </c>
      <c r="B38" s="28">
        <f t="shared" si="42"/>
        <v>11.907999999999999</v>
      </c>
      <c r="C38" s="24" t="s">
        <v>29</v>
      </c>
      <c r="D38" s="26">
        <v>118</v>
      </c>
      <c r="E38" s="26">
        <v>37</v>
      </c>
      <c r="F38" s="26">
        <f t="shared" si="43"/>
        <v>81</v>
      </c>
      <c r="G38" s="26">
        <f t="shared" si="44"/>
        <v>78.38693919635439</v>
      </c>
      <c r="H38" s="26">
        <f t="shared" si="45"/>
        <v>76.601234560966134</v>
      </c>
      <c r="I38" s="27">
        <f t="shared" si="46"/>
        <v>3.2260009921550738E-2</v>
      </c>
      <c r="J38" s="26">
        <f t="shared" si="47"/>
        <v>26.653220197185217</v>
      </c>
      <c r="K38" s="3">
        <f t="shared" si="48"/>
        <v>3.2260009921550738E-2</v>
      </c>
      <c r="AD38" s="41">
        <f>1.141/1000</f>
        <v>1.1410000000000001E-3</v>
      </c>
      <c r="AE38">
        <v>6.7</v>
      </c>
    </row>
    <row r="39" spans="1:31" ht="15.75">
      <c r="A39" s="28">
        <f t="shared" si="41"/>
        <v>18.641999999999999</v>
      </c>
      <c r="B39" s="28">
        <f t="shared" si="42"/>
        <v>3.6139999999999999</v>
      </c>
      <c r="C39" s="24" t="s">
        <v>30</v>
      </c>
      <c r="D39" s="26"/>
      <c r="E39" s="26"/>
      <c r="F39" s="26"/>
      <c r="G39" s="26"/>
      <c r="H39" s="26"/>
      <c r="I39" s="28"/>
      <c r="J39" s="26"/>
      <c r="K39" s="3"/>
      <c r="M39" s="15"/>
      <c r="AD39" s="41">
        <f>1142/1000</f>
        <v>1.1419999999999999</v>
      </c>
    </row>
    <row r="40" spans="1:31">
      <c r="A40" s="32"/>
      <c r="B40" s="32"/>
      <c r="K40" s="1"/>
      <c r="AD40" s="41">
        <f>1.143/1000</f>
        <v>1.1429999999999999E-3</v>
      </c>
      <c r="AE40">
        <v>6.8</v>
      </c>
    </row>
    <row r="41" spans="1:31">
      <c r="A41" s="18"/>
      <c r="B41" s="18"/>
      <c r="C41" s="18" t="s">
        <v>16</v>
      </c>
      <c r="D41" s="29" t="s">
        <v>35</v>
      </c>
      <c r="E41" s="18" t="s">
        <v>44</v>
      </c>
      <c r="F41" s="18" t="s">
        <v>45</v>
      </c>
      <c r="G41" s="19" t="s">
        <v>36</v>
      </c>
      <c r="H41" s="19" t="s">
        <v>10</v>
      </c>
      <c r="I41" s="19" t="s">
        <v>38</v>
      </c>
      <c r="J41" s="19" t="s">
        <v>38</v>
      </c>
      <c r="K41" s="1"/>
      <c r="M41" s="16"/>
      <c r="AD41" s="41">
        <f>1144/1000</f>
        <v>1.1439999999999999</v>
      </c>
      <c r="AE41">
        <v>6.9</v>
      </c>
    </row>
    <row r="42" spans="1:31">
      <c r="A42" s="18"/>
      <c r="B42" s="18"/>
      <c r="C42" s="20">
        <f>B16</f>
        <v>88</v>
      </c>
      <c r="D42" s="29" t="s">
        <v>26</v>
      </c>
      <c r="E42" s="18" t="s">
        <v>26</v>
      </c>
      <c r="F42" s="18" t="s">
        <v>26</v>
      </c>
      <c r="G42" s="18" t="s">
        <v>26</v>
      </c>
      <c r="H42" s="18" t="s">
        <v>26</v>
      </c>
      <c r="I42" s="19" t="s">
        <v>26</v>
      </c>
      <c r="J42" s="19" t="s">
        <v>37</v>
      </c>
      <c r="K42" s="1"/>
      <c r="M42" s="16"/>
      <c r="AD42" s="41">
        <f>1.145/1000</f>
        <v>1.145E-3</v>
      </c>
      <c r="AE42">
        <v>7</v>
      </c>
    </row>
    <row r="43" spans="1:31">
      <c r="A43" s="18"/>
      <c r="B43" s="18" t="s">
        <v>32</v>
      </c>
      <c r="C43" s="18"/>
      <c r="D43" s="18"/>
      <c r="E43" s="18"/>
      <c r="F43" s="18"/>
      <c r="G43" s="19"/>
      <c r="H43" s="19"/>
      <c r="I43" s="19"/>
      <c r="J43" s="19"/>
      <c r="K43" s="1"/>
      <c r="M43" s="16"/>
      <c r="AD43" s="41">
        <f>1146/1000</f>
        <v>1.1459999999999999</v>
      </c>
    </row>
    <row r="44" spans="1:31">
      <c r="A44" s="20">
        <f>A28</f>
        <v>0</v>
      </c>
      <c r="B44" s="20">
        <f>B28</f>
        <v>22.256</v>
      </c>
      <c r="C44" s="18" t="s">
        <v>27</v>
      </c>
      <c r="D44" s="21">
        <v>124</v>
      </c>
      <c r="E44" s="21">
        <v>37</v>
      </c>
      <c r="F44" s="21">
        <f>D44-E44</f>
        <v>87</v>
      </c>
      <c r="G44" s="21">
        <f>$P$16*B44</f>
        <v>85.1391851026507</v>
      </c>
      <c r="H44" s="21">
        <f>$Q$16*B44</f>
        <v>82.888265011949315</v>
      </c>
      <c r="I44" s="22">
        <f>(F44-G44)/F44</f>
        <v>2.1388676981026439E-2</v>
      </c>
      <c r="J44" s="21">
        <f>(F44-G44)*$J$1</f>
        <v>18.980311952962861</v>
      </c>
      <c r="K44" s="3">
        <f>ABS(I44)</f>
        <v>2.1388676981026439E-2</v>
      </c>
    </row>
    <row r="45" spans="1:31">
      <c r="A45" s="20">
        <f t="shared" ref="A45:B45" si="49">A29</f>
        <v>4.0039999999999996</v>
      </c>
      <c r="B45" s="20">
        <f t="shared" si="49"/>
        <v>18.251999999999999</v>
      </c>
      <c r="C45" s="18" t="s">
        <v>28</v>
      </c>
      <c r="D45" s="21">
        <v>107</v>
      </c>
      <c r="E45" s="21">
        <v>37</v>
      </c>
      <c r="F45" s="21">
        <f t="shared" ref="F45:F46" si="50">D45-E45</f>
        <v>70</v>
      </c>
      <c r="G45" s="21">
        <f t="shared" ref="G45:G46" si="51">$P$16*B45</f>
        <v>69.822088717360728</v>
      </c>
      <c r="H45" s="21">
        <f t="shared" ref="H45:H46" si="52">$Q$16*B45</f>
        <v>67.976123876621983</v>
      </c>
      <c r="I45" s="22">
        <f t="shared" ref="I45:I46" si="53">(F45-G45)/F45</f>
        <v>2.541589751989599E-3</v>
      </c>
      <c r="J45" s="21">
        <f t="shared" ref="J45:J46" si="54">(F45-G45)*$J$1</f>
        <v>1.8146950829205735</v>
      </c>
      <c r="K45" s="3">
        <f t="shared" ref="K45:K46" si="55">ABS(I45)</f>
        <v>2.541589751989599E-3</v>
      </c>
      <c r="AD45" s="40">
        <v>1138</v>
      </c>
      <c r="AE45">
        <v>6.7</v>
      </c>
    </row>
    <row r="46" spans="1:31">
      <c r="A46" s="20">
        <f t="shared" ref="A46:B46" si="56">A30</f>
        <v>10.348000000000001</v>
      </c>
      <c r="B46" s="20">
        <f t="shared" si="56"/>
        <v>11.907999999999999</v>
      </c>
      <c r="C46" s="18" t="s">
        <v>29</v>
      </c>
      <c r="D46" s="21">
        <v>83</v>
      </c>
      <c r="E46" s="21">
        <v>37</v>
      </c>
      <c r="F46" s="21">
        <f t="shared" si="50"/>
        <v>46</v>
      </c>
      <c r="G46" s="21">
        <f t="shared" si="51"/>
        <v>45.553442496511707</v>
      </c>
      <c r="H46" s="21">
        <f t="shared" si="52"/>
        <v>44.349095064804651</v>
      </c>
      <c r="I46" s="22">
        <f t="shared" si="53"/>
        <v>9.7077718149628945E-3</v>
      </c>
      <c r="J46" s="21">
        <f t="shared" si="54"/>
        <v>4.5548865355805894</v>
      </c>
      <c r="K46" s="3">
        <f t="shared" si="55"/>
        <v>9.7077718149628945E-3</v>
      </c>
      <c r="AD46" s="40">
        <v>1139</v>
      </c>
    </row>
    <row r="47" spans="1:31">
      <c r="A47" s="20">
        <f t="shared" ref="A47:B47" si="57">A31</f>
        <v>18.641999999999999</v>
      </c>
      <c r="B47" s="20">
        <f t="shared" si="57"/>
        <v>3.6139999999999999</v>
      </c>
      <c r="C47" s="18" t="s">
        <v>30</v>
      </c>
      <c r="D47" s="26"/>
      <c r="E47" s="21"/>
      <c r="F47" s="21"/>
      <c r="G47" s="21"/>
      <c r="H47" s="21"/>
      <c r="I47" s="22"/>
      <c r="J47" s="21"/>
      <c r="K47" s="1"/>
    </row>
    <row r="48" spans="1:31">
      <c r="A48" s="32"/>
      <c r="B48" s="32"/>
      <c r="K48" s="1"/>
    </row>
    <row r="49" spans="1:11">
      <c r="A49" s="24"/>
      <c r="B49" s="24"/>
      <c r="C49" s="24" t="s">
        <v>16</v>
      </c>
      <c r="D49" s="24" t="s">
        <v>35</v>
      </c>
      <c r="E49" s="24" t="s">
        <v>44</v>
      </c>
      <c r="F49" s="24" t="s">
        <v>45</v>
      </c>
      <c r="G49" s="25" t="s">
        <v>36</v>
      </c>
      <c r="H49" s="25" t="s">
        <v>10</v>
      </c>
      <c r="I49" s="25" t="s">
        <v>38</v>
      </c>
      <c r="J49" s="25" t="s">
        <v>38</v>
      </c>
      <c r="K49" s="1"/>
    </row>
    <row r="50" spans="1:11">
      <c r="A50" s="24"/>
      <c r="B50" s="24"/>
      <c r="C50" s="28">
        <f>B17</f>
        <v>106</v>
      </c>
      <c r="D50" s="24" t="s">
        <v>26</v>
      </c>
      <c r="E50" s="24" t="s">
        <v>26</v>
      </c>
      <c r="F50" s="24" t="s">
        <v>26</v>
      </c>
      <c r="G50" s="24" t="s">
        <v>26</v>
      </c>
      <c r="H50" s="24" t="s">
        <v>26</v>
      </c>
      <c r="I50" s="25" t="s">
        <v>26</v>
      </c>
      <c r="J50" s="25" t="s">
        <v>37</v>
      </c>
      <c r="K50" s="1"/>
    </row>
    <row r="51" spans="1:11">
      <c r="A51" s="24"/>
      <c r="B51" s="24" t="s">
        <v>32</v>
      </c>
      <c r="C51" s="24"/>
      <c r="D51" s="24"/>
      <c r="E51" s="24"/>
      <c r="F51" s="24"/>
      <c r="G51" s="25"/>
      <c r="H51" s="25"/>
      <c r="I51" s="23"/>
      <c r="J51" s="23"/>
      <c r="K51" s="1"/>
    </row>
    <row r="52" spans="1:11">
      <c r="A52" s="28">
        <f>A36</f>
        <v>0</v>
      </c>
      <c r="B52" s="28">
        <f>B36</f>
        <v>22.256</v>
      </c>
      <c r="C52" s="24" t="s">
        <v>27</v>
      </c>
      <c r="D52" s="26">
        <v>159</v>
      </c>
      <c r="E52" s="26">
        <v>37</v>
      </c>
      <c r="F52" s="26">
        <f>D52-E52</f>
        <v>122</v>
      </c>
      <c r="G52" s="26">
        <f>$P$17*B52</f>
        <v>117.91527739965863</v>
      </c>
      <c r="H52" s="26">
        <f>$Q$17*B52</f>
        <v>115.02323049531209</v>
      </c>
      <c r="I52" s="27">
        <f>(F52-G52)/F52</f>
        <v>3.3481332789683321E-2</v>
      </c>
      <c r="J52" s="26">
        <f>(F52-G52)*$J$1</f>
        <v>41.664170523481921</v>
      </c>
      <c r="K52" s="3">
        <f>ABS(I52)</f>
        <v>3.3481332789683321E-2</v>
      </c>
    </row>
    <row r="53" spans="1:11">
      <c r="A53" s="28">
        <f t="shared" ref="A53:B53" si="58">A37</f>
        <v>4.0039999999999996</v>
      </c>
      <c r="B53" s="28">
        <f t="shared" si="58"/>
        <v>18.251999999999999</v>
      </c>
      <c r="C53" s="24" t="s">
        <v>28</v>
      </c>
      <c r="D53" s="26">
        <v>136</v>
      </c>
      <c r="E53" s="26">
        <v>37</v>
      </c>
      <c r="F53" s="26">
        <f t="shared" ref="F53:F54" si="59">D53-E53</f>
        <v>99</v>
      </c>
      <c r="G53" s="26">
        <f t="shared" ref="G53:G54" si="60">$P$17*B53</f>
        <v>96.701547587103221</v>
      </c>
      <c r="H53" s="26">
        <f t="shared" ref="H53:H54" si="61">$P$17*B53</f>
        <v>96.701547587103221</v>
      </c>
      <c r="I53" s="27">
        <f t="shared" ref="I53:I54" si="62">(F53-G53)/F53</f>
        <v>2.3216691039361404E-2</v>
      </c>
      <c r="J53" s="26">
        <f t="shared" ref="J53:J54" si="63">(F53-G53)*$J$1</f>
        <v>23.444214611547146</v>
      </c>
      <c r="K53" s="3">
        <f t="shared" ref="K53:K54" si="64">ABS(I53)</f>
        <v>2.3216691039361404E-2</v>
      </c>
    </row>
    <row r="54" spans="1:11">
      <c r="A54" s="28">
        <f t="shared" ref="A54:B54" si="65">A38</f>
        <v>10.348000000000001</v>
      </c>
      <c r="B54" s="28">
        <f t="shared" si="65"/>
        <v>11.907999999999999</v>
      </c>
      <c r="C54" s="24" t="s">
        <v>29</v>
      </c>
      <c r="D54" s="26">
        <v>100</v>
      </c>
      <c r="E54" s="26">
        <v>37</v>
      </c>
      <c r="F54" s="26">
        <f t="shared" si="59"/>
        <v>63</v>
      </c>
      <c r="G54" s="26">
        <f t="shared" si="60"/>
        <v>63.09018346850894</v>
      </c>
      <c r="H54" s="26">
        <f t="shared" si="61"/>
        <v>63.09018346850894</v>
      </c>
      <c r="I54" s="27">
        <f t="shared" si="62"/>
        <v>-1.4314836271260281E-3</v>
      </c>
      <c r="J54" s="26">
        <f t="shared" si="63"/>
        <v>-0.91987137879118552</v>
      </c>
      <c r="K54" s="3">
        <f t="shared" si="64"/>
        <v>1.4314836271260281E-3</v>
      </c>
    </row>
    <row r="55" spans="1:11">
      <c r="A55" s="28">
        <f t="shared" ref="A55:B55" si="66">A39</f>
        <v>18.641999999999999</v>
      </c>
      <c r="B55" s="28">
        <f t="shared" si="66"/>
        <v>3.6139999999999999</v>
      </c>
      <c r="C55" s="24" t="s">
        <v>30</v>
      </c>
      <c r="D55" s="21"/>
      <c r="E55" s="26"/>
      <c r="F55" s="26"/>
      <c r="G55" s="26"/>
      <c r="H55" s="26"/>
      <c r="I55" s="27"/>
      <c r="J55" s="26"/>
    </row>
    <row r="58" spans="1:11">
      <c r="A58" s="18"/>
      <c r="B58" s="18"/>
      <c r="C58" s="18" t="s">
        <v>16</v>
      </c>
      <c r="D58" s="29" t="s">
        <v>35</v>
      </c>
      <c r="E58" s="18" t="s">
        <v>44</v>
      </c>
      <c r="F58" s="18" t="s">
        <v>45</v>
      </c>
      <c r="G58" s="19" t="s">
        <v>36</v>
      </c>
      <c r="H58" s="19" t="s">
        <v>10</v>
      </c>
      <c r="I58" s="19" t="s">
        <v>38</v>
      </c>
      <c r="J58" s="19" t="s">
        <v>38</v>
      </c>
      <c r="K58" s="1"/>
    </row>
    <row r="59" spans="1:11">
      <c r="A59" s="18"/>
      <c r="B59" s="18"/>
      <c r="C59" s="20">
        <f>B18</f>
        <v>100</v>
      </c>
      <c r="D59" s="29" t="s">
        <v>26</v>
      </c>
      <c r="E59" s="18" t="s">
        <v>26</v>
      </c>
      <c r="F59" s="18" t="s">
        <v>26</v>
      </c>
      <c r="G59" s="18" t="s">
        <v>26</v>
      </c>
      <c r="H59" s="18" t="s">
        <v>26</v>
      </c>
      <c r="I59" s="19" t="s">
        <v>26</v>
      </c>
      <c r="J59" s="19" t="s">
        <v>37</v>
      </c>
      <c r="K59" s="1"/>
    </row>
    <row r="60" spans="1:11">
      <c r="A60" s="18"/>
      <c r="B60" s="18" t="s">
        <v>32</v>
      </c>
      <c r="C60" s="18"/>
      <c r="D60" s="18"/>
      <c r="E60" s="18"/>
      <c r="F60" s="18"/>
      <c r="G60" s="19"/>
      <c r="H60" s="19"/>
      <c r="I60" s="19"/>
      <c r="J60" s="19"/>
      <c r="K60" s="1"/>
    </row>
    <row r="61" spans="1:11">
      <c r="A61" s="20">
        <f>A52</f>
        <v>0</v>
      </c>
      <c r="B61" s="20">
        <f>B52</f>
        <v>22.256</v>
      </c>
      <c r="C61" s="18" t="s">
        <v>27</v>
      </c>
      <c r="D61" s="21">
        <v>127</v>
      </c>
      <c r="E61" s="21">
        <v>37</v>
      </c>
      <c r="F61" s="21">
        <f>D61-E61</f>
        <v>90</v>
      </c>
      <c r="G61" s="21">
        <f>$P$18*B61</f>
        <v>106.48411182018152</v>
      </c>
      <c r="H61" s="21">
        <f>$Q$18*B61</f>
        <v>103.79887935030916</v>
      </c>
      <c r="I61" s="22">
        <f>(F61-G61)/F61</f>
        <v>-0.18315679800201695</v>
      </c>
      <c r="J61" s="21">
        <f>(F61-G61)*$J$1</f>
        <v>-168.13794056585155</v>
      </c>
      <c r="K61" s="3">
        <f>ABS(I61)</f>
        <v>0.18315679800201695</v>
      </c>
    </row>
    <row r="62" spans="1:11">
      <c r="A62" s="20">
        <f t="shared" ref="A62:B62" si="67">A53</f>
        <v>4.0039999999999996</v>
      </c>
      <c r="B62" s="20">
        <f t="shared" si="67"/>
        <v>18.251999999999999</v>
      </c>
      <c r="C62" s="18" t="s">
        <v>28</v>
      </c>
      <c r="D62" s="21">
        <v>108</v>
      </c>
      <c r="E62" s="21">
        <v>37</v>
      </c>
      <c r="F62" s="21">
        <f t="shared" ref="F62:F63" si="68">D62-E62</f>
        <v>71</v>
      </c>
      <c r="G62" s="21">
        <f t="shared" ref="G62:G64" si="69">$P$18*B62</f>
        <v>87.326923478700266</v>
      </c>
      <c r="H62" s="21">
        <f t="shared" ref="H62:H64" si="70">$Q$18*B62</f>
        <v>85.124781897099325</v>
      </c>
      <c r="I62" s="22">
        <f t="shared" ref="I62:I63" si="71">(F62-G62)/F62</f>
        <v>-0.22995666871408826</v>
      </c>
      <c r="J62" s="21">
        <f t="shared" ref="J62:J63" si="72">(F62-G62)*$J$1</f>
        <v>-166.5346194827427</v>
      </c>
      <c r="K62" s="3">
        <f t="shared" ref="K62:K63" si="73">ABS(I62)</f>
        <v>0.22995666871408826</v>
      </c>
    </row>
    <row r="63" spans="1:11">
      <c r="A63" s="20">
        <f t="shared" ref="A63:B63" si="74">A54</f>
        <v>10.348000000000001</v>
      </c>
      <c r="B63" s="20">
        <f t="shared" si="74"/>
        <v>11.907999999999999</v>
      </c>
      <c r="C63" s="18" t="s">
        <v>29</v>
      </c>
      <c r="D63" s="21">
        <v>84</v>
      </c>
      <c r="E63" s="21">
        <v>37</v>
      </c>
      <c r="F63" s="21">
        <f t="shared" si="68"/>
        <v>47</v>
      </c>
      <c r="G63" s="21">
        <f t="shared" si="69"/>
        <v>56.973975716872822</v>
      </c>
      <c r="H63" s="21">
        <f t="shared" si="70"/>
        <v>55.537250867338308</v>
      </c>
      <c r="I63" s="22">
        <f t="shared" si="71"/>
        <v>-0.21221224929516641</v>
      </c>
      <c r="J63" s="21">
        <f t="shared" si="72"/>
        <v>-101.73455231210278</v>
      </c>
      <c r="K63" s="3">
        <f t="shared" si="73"/>
        <v>0.21221224929516641</v>
      </c>
    </row>
    <row r="64" spans="1:11">
      <c r="A64" s="20">
        <f t="shared" ref="A64:B64" si="75">A55</f>
        <v>18.641999999999999</v>
      </c>
      <c r="B64" s="20">
        <f t="shared" si="75"/>
        <v>3.6139999999999999</v>
      </c>
      <c r="C64" s="18" t="s">
        <v>30</v>
      </c>
      <c r="D64" s="26">
        <v>23</v>
      </c>
      <c r="E64" s="21">
        <v>6.5</v>
      </c>
      <c r="F64" s="21">
        <f>D64-E64</f>
        <v>16.5</v>
      </c>
      <c r="G64" s="21">
        <f t="shared" si="69"/>
        <v>17.291228438090222</v>
      </c>
      <c r="H64" s="21">
        <f t="shared" si="70"/>
        <v>16.855191857117958</v>
      </c>
      <c r="I64" s="22">
        <f t="shared" ref="I64" si="76">(F64-G64)/F64</f>
        <v>-4.7953238672134677E-2</v>
      </c>
      <c r="J64" s="21">
        <f t="shared" ref="J64" si="77">(F64-G64)*$J$1</f>
        <v>-8.0705300685202648</v>
      </c>
      <c r="K64" s="1"/>
    </row>
    <row r="65" spans="1:11">
      <c r="A65" s="42"/>
      <c r="B65" s="42"/>
      <c r="K65" s="1"/>
    </row>
    <row r="66" spans="1:11">
      <c r="A66" s="24"/>
      <c r="B66" s="24"/>
      <c r="C66" s="24" t="s">
        <v>16</v>
      </c>
      <c r="D66" s="24" t="s">
        <v>35</v>
      </c>
      <c r="E66" s="24" t="s">
        <v>44</v>
      </c>
      <c r="F66" s="24" t="s">
        <v>45</v>
      </c>
      <c r="G66" s="25" t="s">
        <v>36</v>
      </c>
      <c r="H66" s="25" t="s">
        <v>10</v>
      </c>
      <c r="I66" s="25" t="s">
        <v>38</v>
      </c>
      <c r="J66" s="25" t="s">
        <v>38</v>
      </c>
      <c r="K66" s="1"/>
    </row>
    <row r="67" spans="1:11">
      <c r="A67" s="24"/>
      <c r="B67" s="24"/>
      <c r="C67" s="28">
        <f>B19</f>
        <v>59</v>
      </c>
      <c r="D67" s="24" t="s">
        <v>26</v>
      </c>
      <c r="E67" s="24" t="s">
        <v>26</v>
      </c>
      <c r="F67" s="24" t="s">
        <v>26</v>
      </c>
      <c r="G67" s="24" t="s">
        <v>26</v>
      </c>
      <c r="H67" s="24" t="s">
        <v>26</v>
      </c>
      <c r="I67" s="25" t="s">
        <v>26</v>
      </c>
      <c r="J67" s="25" t="s">
        <v>37</v>
      </c>
      <c r="K67" s="1"/>
    </row>
    <row r="68" spans="1:11">
      <c r="A68" s="24"/>
      <c r="B68" s="24" t="s">
        <v>32</v>
      </c>
      <c r="C68" s="24"/>
      <c r="D68" s="24"/>
      <c r="E68" s="24"/>
      <c r="F68" s="24"/>
      <c r="G68" s="25"/>
      <c r="H68" s="25"/>
      <c r="I68" s="23"/>
      <c r="J68" s="23"/>
      <c r="K68" s="1"/>
    </row>
    <row r="69" spans="1:11">
      <c r="A69" s="28">
        <f>A61</f>
        <v>0</v>
      </c>
      <c r="B69" s="28">
        <f>B61</f>
        <v>22.256</v>
      </c>
      <c r="C69" s="24" t="s">
        <v>27</v>
      </c>
      <c r="D69" s="26">
        <v>74.5</v>
      </c>
      <c r="E69" s="26">
        <v>37</v>
      </c>
      <c r="F69" s="26">
        <f>D69-E69</f>
        <v>37.5</v>
      </c>
      <c r="G69" s="26">
        <f>$P$19*B69</f>
        <v>42.293714878893176</v>
      </c>
      <c r="H69" s="26">
        <f>$Q$19*B69</f>
        <v>41.128437264778924</v>
      </c>
      <c r="I69" s="27">
        <f>(F69-G69)/F69</f>
        <v>-0.12783239677048472</v>
      </c>
      <c r="J69" s="26">
        <f>(F69-G69)*$J$1</f>
        <v>-48.895891764710399</v>
      </c>
      <c r="K69" s="3">
        <f>ABS(I69)</f>
        <v>0.12783239677048472</v>
      </c>
    </row>
    <row r="70" spans="1:11">
      <c r="A70" s="28">
        <f t="shared" ref="A70:B70" si="78">A62</f>
        <v>4.0039999999999996</v>
      </c>
      <c r="B70" s="28">
        <f t="shared" si="78"/>
        <v>18.251999999999999</v>
      </c>
      <c r="C70" s="24" t="s">
        <v>28</v>
      </c>
      <c r="D70" s="26">
        <v>66</v>
      </c>
      <c r="E70" s="26">
        <v>37</v>
      </c>
      <c r="F70" s="26">
        <f t="shared" ref="F70:F71" si="79">D70-E70</f>
        <v>29</v>
      </c>
      <c r="G70" s="26">
        <f t="shared" ref="G70:G72" si="80">$P$19*B70</f>
        <v>34.684798884325943</v>
      </c>
      <c r="H70" s="26">
        <f t="shared" ref="H70:H72" si="81">$Q$19*B70</f>
        <v>33.729162336302338</v>
      </c>
      <c r="I70" s="27">
        <f t="shared" ref="I70:I71" si="82">(F70-G70)/F70</f>
        <v>-0.19602754773537734</v>
      </c>
      <c r="J70" s="26">
        <f t="shared" ref="J70:J71" si="83">(F70-G70)*$J$1</f>
        <v>-57.984948620124612</v>
      </c>
      <c r="K70" s="3">
        <f t="shared" ref="K70:K71" si="84">ABS(I70)</f>
        <v>0.19602754773537734</v>
      </c>
    </row>
    <row r="71" spans="1:11">
      <c r="A71" s="28">
        <f t="shared" ref="A71:B71" si="85">A63</f>
        <v>10.348000000000001</v>
      </c>
      <c r="B71" s="28">
        <f t="shared" si="85"/>
        <v>11.907999999999999</v>
      </c>
      <c r="C71" s="24" t="s">
        <v>29</v>
      </c>
      <c r="D71" s="26">
        <v>55</v>
      </c>
      <c r="E71" s="26">
        <v>37</v>
      </c>
      <c r="F71" s="26">
        <f t="shared" si="79"/>
        <v>18</v>
      </c>
      <c r="G71" s="26">
        <f t="shared" si="80"/>
        <v>22.629113802024616</v>
      </c>
      <c r="H71" s="26">
        <f t="shared" si="81"/>
        <v>22.005635826248533</v>
      </c>
      <c r="I71" s="27">
        <f t="shared" si="82"/>
        <v>-0.25717298900136754</v>
      </c>
      <c r="J71" s="26">
        <f t="shared" si="83"/>
        <v>-47.216960780651078</v>
      </c>
      <c r="K71" s="3">
        <f t="shared" si="84"/>
        <v>0.25717298900136754</v>
      </c>
    </row>
    <row r="72" spans="1:11">
      <c r="A72" s="28">
        <f t="shared" ref="A72:B72" si="86">A64</f>
        <v>18.641999999999999</v>
      </c>
      <c r="B72" s="28">
        <f t="shared" si="86"/>
        <v>3.6139999999999999</v>
      </c>
      <c r="C72" s="24" t="s">
        <v>30</v>
      </c>
      <c r="D72" s="21">
        <v>13.8</v>
      </c>
      <c r="E72" s="26">
        <v>6.5</v>
      </c>
      <c r="F72" s="26">
        <f t="shared" ref="F72" si="87">D72-E72</f>
        <v>7.3000000000000007</v>
      </c>
      <c r="G72" s="26">
        <f t="shared" si="80"/>
        <v>6.8677878132782135</v>
      </c>
      <c r="H72" s="26">
        <f t="shared" si="81"/>
        <v>6.678566331547044</v>
      </c>
      <c r="I72" s="27">
        <f t="shared" ref="I72" si="88">(F72-G72)/F72</f>
        <v>5.920714886599824E-2</v>
      </c>
      <c r="J72" s="26">
        <f t="shared" ref="J72" si="89">(F72-G72)*$J$1</f>
        <v>4.4085643045622289</v>
      </c>
    </row>
    <row r="73" spans="1:11">
      <c r="D73" s="26"/>
      <c r="F73" s="26"/>
    </row>
  </sheetData>
  <mergeCells count="6">
    <mergeCell ref="M24:Q24"/>
    <mergeCell ref="N2:O2"/>
    <mergeCell ref="N3:O3"/>
    <mergeCell ref="N4:O4"/>
    <mergeCell ref="N5:O5"/>
    <mergeCell ref="N6:O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Equation.3" shapeId="1025" r:id="rId4"/>
    <oleObject progId="Equation.DSMT4" shapeId="1026" r:id="rId5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agua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</dc:creator>
  <cp:lastModifiedBy>adm2pfg</cp:lastModifiedBy>
  <cp:lastPrinted>2013-10-07T18:19:51Z</cp:lastPrinted>
  <dcterms:created xsi:type="dcterms:W3CDTF">2013-09-03T21:17:20Z</dcterms:created>
  <dcterms:modified xsi:type="dcterms:W3CDTF">2016-03-09T18:11:52Z</dcterms:modified>
</cp:coreProperties>
</file>