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" sheetId="1" r:id="rId4"/>
    <sheet state="visible" name="joao" sheetId="2" r:id="rId5"/>
    <sheet state="visible" name="Graficos" sheetId="3" r:id="rId6"/>
  </sheets>
  <definedNames/>
  <calcPr/>
  <extLst>
    <ext uri="GoogleSheetsCustomDataVersion2">
      <go:sheetsCustomData xmlns:go="http://customooxmlschemas.google.com/" r:id="rId7" roundtripDataChecksum="Oq+LIDPF9ueuoUVq40obCWlbkYh5zbiS9PR0LtrOn8s="/>
    </ext>
  </extLst>
</workbook>
</file>

<file path=xl/sharedStrings.xml><?xml version="1.0" encoding="utf-8"?>
<sst xmlns="http://schemas.openxmlformats.org/spreadsheetml/2006/main" count="38" uniqueCount="33">
  <si>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</si>
  <si>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</si>
  <si>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</si>
  <si>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</si>
  <si>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</si>
  <si>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</si>
  <si>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</si>
  <si>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</si>
  <si>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</si>
  <si>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</si>
  <si>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</si>
  <si>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</si>
  <si>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</si>
  <si>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</si>
  <si>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</si>
  <si>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Mês / Ano</t>
  </si>
  <si>
    <t>Vendedor</t>
  </si>
  <si>
    <t>João da Silva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</si>
  <si>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</si>
  <si>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</si>
  <si>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</si>
  <si>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</si>
  <si>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</si>
  <si>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</si>
  <si>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</si>
  <si>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</si>
  <si>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</si>
  <si>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</si>
  <si>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</si>
  <si>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 xml:space="preserve">média dos valores reais </t>
  </si>
  <si>
    <t xml:space="preserve">variancia </t>
  </si>
  <si>
    <t>Venda Real</t>
  </si>
  <si>
    <t>Venda Projetada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</si>
</sst>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  <numFmt numFmtId="168" formatCode="0.0000"/>
    <numFmt numFmtId="169" formatCode="0.000"/>
  </numFmts>
  <fonts count="13">
    <font>
      <sz val="11.0"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3.0"/>
      <color rgb="FF00000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Arial"/>
    </font>
    <font>
      <sz val="11.0"/>
      <color theme="0"/>
      <name val="Calibri"/>
    </font>
    <font>
      <b/>
      <sz val="13.0"/>
      <color theme="0"/>
      <name val="Calibri"/>
    </font>
    <font/>
    <font>
      <b/>
      <sz val="12.0"/>
      <color theme="0"/>
      <name val="Calibri"/>
    </font>
    <font>
      <b/>
      <sz val="11.0"/>
      <color theme="0"/>
      <name val="Calibri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2">
    <border/>
    <border>
      <bottom style="thin">
        <color theme="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</border>
    <border>
      <left style="thin">
        <color rgb="FF0070C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top style="medium">
        <color theme="0"/>
      </top>
      <bottom style="medium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</border>
    <border>
      <left style="medium">
        <color theme="0"/>
      </left>
      <right style="thin">
        <color theme="0"/>
      </right>
      <top style="medium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theme="0"/>
      </top>
      <bottom style="medium">
        <color theme="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right style="medium">
        <color theme="0"/>
      </right>
      <bottom style="thin">
        <color theme="0"/>
      </bottom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top style="medium">
        <color theme="0"/>
      </top>
      <bottom style="thin">
        <color theme="0"/>
      </bottom>
    </border>
    <border>
      <right style="medium">
        <color theme="0"/>
      </right>
      <bottom style="thin">
        <color theme="0"/>
      </bottom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</border>
    <border>
      <top style="thin">
        <color theme="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shrinkToFit="0" wrapText="1"/>
    </xf>
    <xf borderId="3" fillId="0" fontId="1" numFmtId="0" xfId="0" applyBorder="1" applyFont="1"/>
    <xf borderId="4" fillId="0" fontId="1" numFmtId="0" xfId="0" applyAlignment="1" applyBorder="1" applyFont="1">
      <alignment shrinkToFit="0" wrapText="1"/>
    </xf>
    <xf quotePrefix="1" borderId="5" fillId="0" fontId="1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right" shrinkToFit="0" wrapText="1"/>
    </xf>
    <xf borderId="8" fillId="0" fontId="1" numFmtId="0" xfId="0" applyBorder="1" applyFont="1"/>
    <xf borderId="8" fillId="0" fontId="1" numFmtId="0" xfId="0" applyAlignment="1" applyBorder="1" applyFont="1">
      <alignment shrinkToFit="0" wrapText="1"/>
    </xf>
    <xf quotePrefix="1" borderId="8" fillId="0" fontId="3" numFmtId="0" xfId="0" applyAlignment="1" applyBorder="1" applyFont="1">
      <alignment horizontal="left" shrinkToFit="0" wrapText="1"/>
    </xf>
    <xf borderId="8" fillId="0" fontId="4" numFmtId="0" xfId="0" applyBorder="1" applyFont="1"/>
    <xf borderId="8" fillId="0" fontId="5" numFmtId="0" xfId="0" applyBorder="1" applyFont="1"/>
    <xf borderId="0" fillId="0" fontId="6" numFmtId="0" xfId="0" applyFont="1"/>
    <xf borderId="9" fillId="2" fontId="7" numFmtId="0" xfId="0" applyBorder="1" applyFill="1" applyFont="1"/>
    <xf borderId="10" fillId="2" fontId="8" numFmtId="0" xfId="0" applyAlignment="1" applyBorder="1" applyFont="1">
      <alignment horizontal="center" vertical="center"/>
    </xf>
    <xf borderId="11" fillId="3" fontId="5" numFmtId="164" xfId="0" applyAlignment="1" applyBorder="1" applyFill="1" applyFont="1" applyNumberFormat="1">
      <alignment horizontal="center" vertical="center"/>
    </xf>
    <xf borderId="12" fillId="0" fontId="9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2" fontId="10" numFmtId="0" xfId="0" applyAlignment="1" applyBorder="1" applyFont="1">
      <alignment horizontal="left" vertical="center"/>
    </xf>
    <xf borderId="20" fillId="0" fontId="9" numFmtId="0" xfId="0" applyBorder="1" applyFont="1"/>
    <xf borderId="21" fillId="0" fontId="1" numFmtId="0" xfId="0" applyAlignment="1" applyBorder="1" applyFont="1">
      <alignment horizontal="left" vertical="center"/>
    </xf>
    <xf borderId="21" fillId="0" fontId="9" numFmtId="0" xfId="0" applyBorder="1" applyFont="1"/>
    <xf borderId="22" fillId="0" fontId="1" numFmtId="0" xfId="0" applyBorder="1" applyFont="1"/>
    <xf borderId="23" fillId="0" fontId="1" numFmtId="0" xfId="0" applyBorder="1" applyFont="1"/>
    <xf borderId="19" fillId="2" fontId="10" numFmtId="0" xfId="0" applyAlignment="1" applyBorder="1" applyFont="1">
      <alignment horizontal="center" vertical="center"/>
    </xf>
    <xf borderId="21" fillId="0" fontId="5" numFmtId="165" xfId="0" applyAlignment="1" applyBorder="1" applyFont="1" applyNumberFormat="1">
      <alignment horizontal="center"/>
    </xf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2" fontId="11" numFmtId="0" xfId="0" applyAlignment="1" applyBorder="1" applyFont="1">
      <alignment horizontal="center" vertical="center"/>
    </xf>
    <xf borderId="30" fillId="0" fontId="1" numFmtId="0" xfId="0" applyBorder="1" applyFont="1"/>
    <xf borderId="31" fillId="2" fontId="11" numFmtId="0" xfId="0" applyAlignment="1" applyBorder="1" applyFont="1">
      <alignment horizontal="center"/>
    </xf>
    <xf borderId="32" fillId="0" fontId="9" numFmtId="0" xfId="0" applyBorder="1" applyFont="1"/>
    <xf borderId="33" fillId="0" fontId="9" numFmtId="0" xfId="0" applyBorder="1" applyFont="1"/>
    <xf borderId="31" fillId="4" fontId="11" numFmtId="0" xfId="0" applyAlignment="1" applyBorder="1" applyFill="1" applyFont="1">
      <alignment horizontal="center"/>
    </xf>
    <xf borderId="34" fillId="5" fontId="11" numFmtId="0" xfId="0" applyAlignment="1" applyBorder="1" applyFill="1" applyFont="1">
      <alignment horizontal="center" shrinkToFit="0" wrapText="1"/>
    </xf>
    <xf borderId="35" fillId="5" fontId="11" numFmtId="0" xfId="0" applyAlignment="1" applyBorder="1" applyFont="1">
      <alignment horizontal="center" vertical="center"/>
    </xf>
    <xf borderId="34" fillId="6" fontId="11" numFmtId="0" xfId="0" applyAlignment="1" applyBorder="1" applyFill="1" applyFont="1">
      <alignment horizontal="center" shrinkToFit="0" vertical="center" wrapText="1"/>
    </xf>
    <xf borderId="36" fillId="6" fontId="11" numFmtId="0" xfId="0" applyAlignment="1" applyBorder="1" applyFont="1">
      <alignment horizontal="center" shrinkToFit="0" wrapText="1"/>
    </xf>
    <xf borderId="35" fillId="6" fontId="11" numFmtId="0" xfId="0" applyAlignment="1" applyBorder="1" applyFont="1">
      <alignment horizontal="center" shrinkToFit="0" vertical="center" wrapText="1"/>
    </xf>
    <xf borderId="37" fillId="0" fontId="9" numFmtId="0" xfId="0" applyBorder="1" applyFont="1"/>
    <xf borderId="38" fillId="2" fontId="11" numFmtId="2" xfId="0" applyAlignment="1" applyBorder="1" applyFont="1" applyNumberFormat="1">
      <alignment horizontal="center"/>
    </xf>
    <xf borderId="39" fillId="2" fontId="11" numFmtId="2" xfId="0" applyAlignment="1" applyBorder="1" applyFont="1" applyNumberFormat="1">
      <alignment horizontal="center"/>
    </xf>
    <xf borderId="40" fillId="2" fontId="11" numFmtId="2" xfId="0" applyAlignment="1" applyBorder="1" applyFont="1" applyNumberFormat="1">
      <alignment horizontal="center"/>
    </xf>
    <xf borderId="38" fillId="4" fontId="11" numFmtId="0" xfId="0" applyAlignment="1" applyBorder="1" applyFont="1">
      <alignment horizontal="center"/>
    </xf>
    <xf borderId="40" fillId="4" fontId="11" numFmtId="0" xfId="0" applyAlignment="1" applyBorder="1" applyFont="1">
      <alignment horizontal="center"/>
    </xf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7" fontId="1" numFmtId="166" xfId="0" applyAlignment="1" applyBorder="1" applyFill="1" applyFont="1" applyNumberFormat="1">
      <alignment horizontal="left"/>
    </xf>
    <xf borderId="38" fillId="0" fontId="1" numFmtId="4" xfId="0" applyBorder="1" applyFont="1" applyNumberFormat="1"/>
    <xf borderId="39" fillId="0" fontId="1" numFmtId="4" xfId="0" applyBorder="1" applyFont="1" applyNumberFormat="1"/>
    <xf borderId="40" fillId="0" fontId="1" numFmtId="167" xfId="0" applyBorder="1" applyFont="1" applyNumberFormat="1"/>
    <xf borderId="38" fillId="0" fontId="1" numFmtId="165" xfId="0" applyBorder="1" applyFont="1" applyNumberFormat="1"/>
    <xf borderId="40" fillId="0" fontId="1" numFmtId="165" xfId="0" applyBorder="1" applyFont="1" applyNumberFormat="1"/>
    <xf borderId="40" fillId="0" fontId="1" numFmtId="4" xfId="0" applyBorder="1" applyFont="1" applyNumberFormat="1"/>
    <xf borderId="38" fillId="0" fontId="1" numFmtId="0" xfId="0" applyBorder="1" applyFont="1"/>
    <xf borderId="39" fillId="0" fontId="1" numFmtId="0" xfId="0" applyBorder="1" applyFont="1"/>
    <xf borderId="40" fillId="0" fontId="1" numFmtId="10" xfId="0" applyBorder="1" applyFont="1" applyNumberFormat="1"/>
    <xf borderId="45" fillId="7" fontId="1" numFmtId="166" xfId="0" applyAlignment="1" applyBorder="1" applyFont="1" applyNumberFormat="1">
      <alignment horizontal="left"/>
    </xf>
    <xf borderId="46" fillId="0" fontId="1" numFmtId="4" xfId="0" applyBorder="1" applyFont="1" applyNumberFormat="1"/>
    <xf borderId="47" fillId="0" fontId="1" numFmtId="167" xfId="0" applyBorder="1" applyFont="1" applyNumberFormat="1"/>
    <xf borderId="46" fillId="0" fontId="1" numFmtId="165" xfId="0" applyBorder="1" applyFont="1" applyNumberFormat="1"/>
    <xf borderId="47" fillId="0" fontId="1" numFmtId="165" xfId="0" applyBorder="1" applyFont="1" applyNumberFormat="1"/>
    <xf borderId="47" fillId="0" fontId="1" numFmtId="4" xfId="0" applyBorder="1" applyFont="1" applyNumberFormat="1"/>
    <xf borderId="48" fillId="0" fontId="1" numFmtId="0" xfId="0" applyBorder="1" applyFont="1"/>
    <xf borderId="49" fillId="0" fontId="1" numFmtId="0" xfId="0" applyBorder="1" applyFont="1"/>
    <xf borderId="50" fillId="8" fontId="4" numFmtId="166" xfId="0" applyAlignment="1" applyBorder="1" applyFill="1" applyFont="1" applyNumberFormat="1">
      <alignment horizontal="left"/>
    </xf>
    <xf borderId="51" fillId="8" fontId="4" numFmtId="4" xfId="0" applyBorder="1" applyFont="1" applyNumberFormat="1"/>
    <xf borderId="52" fillId="8" fontId="4" numFmtId="4" xfId="0" applyBorder="1" applyFont="1" applyNumberFormat="1"/>
    <xf borderId="53" fillId="3" fontId="1" numFmtId="2" xfId="0" applyBorder="1" applyFont="1" applyNumberFormat="1"/>
    <xf borderId="54" fillId="0" fontId="1" numFmtId="0" xfId="0" applyBorder="1" applyFont="1"/>
    <xf borderId="55" fillId="0" fontId="1" numFmtId="0" xfId="0" applyBorder="1" applyFont="1"/>
    <xf borderId="56" fillId="0" fontId="1" numFmtId="0" xfId="0" applyBorder="1" applyFont="1"/>
    <xf borderId="57" fillId="0" fontId="1" numFmtId="0" xfId="0" applyBorder="1" applyFont="1"/>
    <xf borderId="51" fillId="8" fontId="4" numFmtId="0" xfId="0" applyBorder="1" applyFont="1"/>
    <xf borderId="53" fillId="8" fontId="4" numFmtId="0" xfId="0" applyBorder="1" applyFont="1"/>
    <xf borderId="58" fillId="0" fontId="1" numFmtId="0" xfId="0" applyBorder="1" applyFont="1"/>
    <xf borderId="59" fillId="0" fontId="1" numFmtId="0" xfId="0" applyBorder="1" applyFont="1"/>
    <xf borderId="14" fillId="0" fontId="1" numFmtId="166" xfId="0" applyAlignment="1" applyBorder="1" applyFont="1" applyNumberFormat="1">
      <alignment horizontal="left"/>
    </xf>
    <xf borderId="60" fillId="0" fontId="1" numFmtId="0" xfId="0" applyBorder="1" applyFont="1"/>
    <xf borderId="0" fillId="0" fontId="12" numFmtId="4" xfId="0" applyFont="1" applyNumberFormat="1"/>
    <xf borderId="14" fillId="0" fontId="1" numFmtId="2" xfId="0" applyBorder="1" applyFont="1" applyNumberFormat="1"/>
    <xf borderId="8" fillId="0" fontId="1" numFmtId="2" xfId="0" applyBorder="1" applyFont="1" applyNumberFormat="1"/>
    <xf borderId="61" fillId="0" fontId="1" numFmtId="0" xfId="0" applyBorder="1" applyFont="1"/>
    <xf borderId="0" fillId="0" fontId="1" numFmtId="0" xfId="0" applyFont="1"/>
    <xf borderId="0" fillId="0" fontId="1" numFmtId="168" xfId="0" applyFont="1" applyNumberFormat="1"/>
    <xf borderId="0" fillId="0" fontId="1" numFmtId="169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Calibri"/>
              </a:defRPr>
            </a:pPr>
            <a:r>
              <a:rPr b="0" i="0" sz="1500">
                <a:solidFill>
                  <a:srgbClr val="757575"/>
                </a:solidFill>
                <a:latin typeface="Calibri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"/>
          <c:y val="0.009259259259259278"/>
        </c:manualLayout>
      </c:layout>
      <c:overlay val="0"/>
    </c:title>
    <c:plotArea>
      <c:layout>
        <c:manualLayout>
          <c:xMode val="edge"/>
          <c:yMode val="edge"/>
          <c:x val="0.0605844269466318"/>
          <c:y val="0.10839129483814523"/>
          <c:w val="0.8193044619422564"/>
          <c:h val="0.7756288276465457"/>
        </c:manualLayout>
      </c:layout>
      <c:lineChart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joao!$D$8:$D$38</c:f>
              <c:numCache/>
            </c:numRef>
          </c:val>
          <c:smooth val="0"/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joao!$E$8:$E$38</c:f>
              <c:numCache/>
            </c:numRef>
          </c:val>
          <c:smooth val="0"/>
        </c:ser>
        <c:axId val="1717408667"/>
        <c:axId val="1481047224"/>
      </c:lineChart>
      <c:catAx>
        <c:axId val="171740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81047224"/>
      </c:catAx>
      <c:valAx>
        <c:axId val="1481047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174086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Calibri"/>
              </a:defRPr>
            </a:pPr>
            <a:r>
              <a:rPr b="0" i="0" sz="1500">
                <a:solidFill>
                  <a:srgbClr val="757575"/>
                </a:solidFill>
                <a:latin typeface="Calibri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8"/>
          <c:y val="0.0"/>
        </c:manualLayout>
      </c:layout>
      <c:overlay val="0"/>
    </c:title>
    <c:plotArea>
      <c:layout>
        <c:manualLayout>
          <c:xMode val="edge"/>
          <c:yMode val="edge"/>
          <c:x val="0.13525240594925633"/>
          <c:y val="0.10839129483814523"/>
          <c:w val="0.8369698162729658"/>
          <c:h val="0.7987769757946923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Graficos!$A$18:$A$20</c:f>
            </c:strRef>
          </c:cat>
          <c:val>
            <c:numRef>
              <c:f>Graficos!$B$18:$B$20</c:f>
              <c:numCache/>
            </c:numRef>
          </c:val>
        </c:ser>
        <c:axId val="1881247529"/>
        <c:axId val="95785221"/>
      </c:barChart>
      <c:catAx>
        <c:axId val="1881247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5785221"/>
      </c:catAx>
      <c:valAx>
        <c:axId val="95785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8124752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122</xdr:row>
      <xdr:rowOff>-171450</xdr:rowOff>
    </xdr:from>
    <xdr:ext cx="8867775" cy="5391150"/>
    <xdr:pic>
      <xdr:nvPicPr>
        <xdr:cNvPr descr="img1_grande_modelo.png"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descr="img1_topo.p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descr="img2_venda.png"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descr="img3_acumulado.png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descr="img4_planejamento_tendencia.png"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descr="img5_conversao.png"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9963150" cy="2743200"/>
    <xdr:graphicFrame>
      <xdr:nvGraphicFramePr>
        <xdr:cNvPr id="20232582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>
      <xdr:nvGraphicFramePr>
        <xdr:cNvPr id="96381056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09.38"/>
    <col customWidth="1" min="3" max="3" width="3.75"/>
    <col customWidth="1" hidden="1" min="4" max="6" width="8.0"/>
    <col customWidth="1" min="7" max="26" width="7.63"/>
  </cols>
  <sheetData>
    <row r="1">
      <c r="A1" s="1"/>
      <c r="B1" s="2"/>
      <c r="C1" s="1"/>
    </row>
    <row r="2">
      <c r="A2" s="3"/>
      <c r="B2" s="4" t="s">
        <v>0</v>
      </c>
      <c r="C2" s="3"/>
    </row>
    <row r="3">
      <c r="A3" s="3"/>
      <c r="B3" s="5" t="s">
        <v>1</v>
      </c>
      <c r="C3" s="3"/>
    </row>
    <row r="4">
      <c r="A4" s="3"/>
      <c r="B4" s="6"/>
      <c r="C4" s="3"/>
    </row>
    <row r="5">
      <c r="A5" s="3"/>
      <c r="B5" s="7" t="s">
        <v>2</v>
      </c>
      <c r="C5" s="3"/>
    </row>
    <row r="6">
      <c r="A6" s="8"/>
      <c r="B6" s="9"/>
      <c r="C6" s="8"/>
    </row>
    <row r="7">
      <c r="A7" s="8"/>
      <c r="B7" s="10" t="s">
        <v>3</v>
      </c>
      <c r="C7" s="8"/>
    </row>
    <row r="8">
      <c r="A8" s="8"/>
      <c r="B8" s="8"/>
      <c r="C8" s="8"/>
    </row>
    <row r="9">
      <c r="A9" s="8"/>
      <c r="B9" s="9" t="s">
        <v>4</v>
      </c>
      <c r="C9" s="8"/>
    </row>
    <row r="10">
      <c r="A10" s="8"/>
      <c r="B10" s="8"/>
      <c r="C10" s="8"/>
    </row>
    <row r="11">
      <c r="A11" s="8"/>
      <c r="B11" s="11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 ht="15.75" customHeight="1">
      <c r="A21" s="8"/>
      <c r="B21" s="8"/>
      <c r="C21" s="8"/>
    </row>
    <row r="22" ht="15.75" customHeight="1">
      <c r="A22" s="8"/>
      <c r="B22" s="8"/>
      <c r="C22" s="8"/>
    </row>
    <row r="23" ht="15.75" customHeight="1">
      <c r="A23" s="8"/>
      <c r="B23" s="8"/>
      <c r="C23" s="8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12" t="s">
        <v>5</v>
      </c>
      <c r="C28" s="8"/>
    </row>
    <row r="29" ht="15.75" customHeight="1">
      <c r="A29" s="8"/>
      <c r="B29" s="8" t="s">
        <v>6</v>
      </c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12" t="s">
        <v>7</v>
      </c>
      <c r="C35" s="8"/>
    </row>
    <row r="36" ht="15.75" customHeight="1">
      <c r="A36" s="8"/>
      <c r="B36" s="8" t="s">
        <v>8</v>
      </c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12" t="s">
        <v>9</v>
      </c>
      <c r="C48" s="8"/>
    </row>
    <row r="49" ht="15.75" customHeight="1">
      <c r="A49" s="8"/>
      <c r="B49" s="9" t="s">
        <v>10</v>
      </c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12" t="s">
        <v>11</v>
      </c>
      <c r="C61" s="8"/>
    </row>
    <row r="62" ht="15.75" customHeight="1">
      <c r="A62" s="8"/>
      <c r="B62" s="9" t="s">
        <v>12</v>
      </c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12" t="s">
        <v>13</v>
      </c>
      <c r="C74" s="8"/>
    </row>
    <row r="75" ht="15.75" customHeight="1">
      <c r="A75" s="8"/>
      <c r="B75" s="9" t="s">
        <v>14</v>
      </c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75"/>
    <col customWidth="1" min="2" max="2" width="8.75"/>
    <col customWidth="1" min="3" max="3" width="2.0"/>
    <col customWidth="1" min="4" max="4" width="19.25"/>
    <col customWidth="1" min="5" max="6" width="12.13"/>
    <col customWidth="1" min="7" max="7" width="2.0"/>
    <col customWidth="1" min="8" max="9" width="12.13"/>
    <col customWidth="1" min="10" max="10" width="2.0"/>
    <col customWidth="1" min="11" max="12" width="12.13"/>
    <col customWidth="1" min="13" max="13" width="2.0"/>
    <col customWidth="1" min="14" max="16" width="10.0"/>
    <col customWidth="1" min="17" max="26" width="7.75"/>
  </cols>
  <sheetData>
    <row r="1" ht="1.5" customHeight="1"/>
    <row r="2" ht="24.0" customHeight="1">
      <c r="A2" s="13"/>
      <c r="J2" s="14"/>
      <c r="K2" s="15" t="s">
        <v>15</v>
      </c>
      <c r="L2" s="16">
        <v>45292.0</v>
      </c>
      <c r="M2" s="17"/>
      <c r="N2" s="18"/>
      <c r="O2" s="19"/>
      <c r="P2" s="8"/>
      <c r="Q2" s="8"/>
      <c r="R2" s="8"/>
      <c r="S2" s="8"/>
      <c r="T2" s="1"/>
    </row>
    <row r="3" ht="6.75" customHeight="1">
      <c r="A3" s="20"/>
      <c r="B3" s="21"/>
      <c r="C3" s="21"/>
      <c r="D3" s="21"/>
      <c r="E3" s="21"/>
      <c r="F3" s="21"/>
      <c r="G3" s="22"/>
      <c r="H3" s="23"/>
      <c r="I3" s="21"/>
      <c r="J3" s="21"/>
      <c r="K3" s="21"/>
      <c r="L3" s="21"/>
      <c r="M3" s="21"/>
      <c r="N3" s="8"/>
      <c r="O3" s="8"/>
      <c r="P3" s="8"/>
      <c r="Q3" s="8"/>
      <c r="R3" s="8"/>
      <c r="S3" s="8"/>
      <c r="T3" s="3"/>
    </row>
    <row r="4" ht="18.0" customHeight="1">
      <c r="A4" s="3"/>
      <c r="B4" s="24" t="s">
        <v>16</v>
      </c>
      <c r="C4" s="25"/>
      <c r="D4" s="26" t="s">
        <v>17</v>
      </c>
      <c r="E4" s="27"/>
      <c r="F4" s="17"/>
      <c r="G4" s="28"/>
      <c r="H4" s="29"/>
      <c r="I4" s="30" t="s">
        <v>18</v>
      </c>
      <c r="J4" s="27"/>
      <c r="K4" s="25"/>
      <c r="L4" s="31">
        <v>2000.0</v>
      </c>
      <c r="M4" s="17"/>
      <c r="N4" s="20"/>
      <c r="O4" s="8"/>
      <c r="P4" s="8"/>
      <c r="Q4" s="8"/>
      <c r="R4" s="8"/>
      <c r="S4" s="8"/>
      <c r="T4" s="3"/>
    </row>
    <row r="5">
      <c r="A5" s="20"/>
      <c r="B5" s="21"/>
      <c r="C5" s="32"/>
      <c r="D5" s="21"/>
      <c r="E5" s="21"/>
      <c r="F5" s="21"/>
      <c r="G5" s="33"/>
      <c r="H5" s="34"/>
      <c r="I5" s="21"/>
      <c r="J5" s="19"/>
      <c r="K5" s="21"/>
      <c r="L5" s="21"/>
      <c r="M5" s="32"/>
      <c r="N5" s="35"/>
      <c r="O5" s="35"/>
      <c r="P5" s="21"/>
      <c r="Q5" s="36"/>
      <c r="R5" s="8"/>
      <c r="S5" s="8"/>
      <c r="T5" s="3"/>
    </row>
    <row r="6" ht="15.75" customHeight="1">
      <c r="A6" s="3"/>
      <c r="B6" s="37" t="s">
        <v>19</v>
      </c>
      <c r="C6" s="38"/>
      <c r="D6" s="39" t="s">
        <v>7</v>
      </c>
      <c r="E6" s="40"/>
      <c r="F6" s="41"/>
      <c r="G6" s="3"/>
      <c r="H6" s="42" t="s">
        <v>9</v>
      </c>
      <c r="I6" s="41"/>
      <c r="J6" s="3"/>
      <c r="K6" s="43" t="s">
        <v>20</v>
      </c>
      <c r="L6" s="44" t="s">
        <v>21</v>
      </c>
      <c r="M6" s="38"/>
      <c r="N6" s="45" t="s">
        <v>22</v>
      </c>
      <c r="O6" s="46" t="s">
        <v>23</v>
      </c>
      <c r="P6" s="47" t="s">
        <v>13</v>
      </c>
      <c r="Q6" s="3"/>
      <c r="R6" s="8"/>
      <c r="S6" s="8"/>
      <c r="T6" s="3"/>
    </row>
    <row r="7">
      <c r="A7" s="3"/>
      <c r="B7" s="48"/>
      <c r="C7" s="38"/>
      <c r="D7" s="49" t="s">
        <v>24</v>
      </c>
      <c r="E7" s="50" t="s">
        <v>25</v>
      </c>
      <c r="F7" s="51" t="s">
        <v>26</v>
      </c>
      <c r="G7" s="3"/>
      <c r="H7" s="52" t="s">
        <v>24</v>
      </c>
      <c r="I7" s="53" t="s">
        <v>27</v>
      </c>
      <c r="J7" s="3"/>
      <c r="K7" s="54"/>
      <c r="L7" s="55"/>
      <c r="M7" s="38"/>
      <c r="N7" s="54"/>
      <c r="O7" s="56"/>
      <c r="P7" s="55"/>
      <c r="Q7" s="3"/>
      <c r="R7" s="8"/>
      <c r="S7" s="8"/>
      <c r="T7" s="3"/>
    </row>
    <row r="8">
      <c r="A8" s="3"/>
      <c r="B8" s="57">
        <f>L2</f>
        <v>45292</v>
      </c>
      <c r="C8" s="38"/>
      <c r="D8" s="58">
        <v>90.0</v>
      </c>
      <c r="E8" s="59">
        <f t="shared" ref="E8:E35" si="2">L$4/(COUNT(B$8:B$38))</f>
        <v>64.51612903</v>
      </c>
      <c r="F8" s="60">
        <f t="shared" ref="F8:F38" si="3">IF(D8,D8-E8,"")</f>
        <v>25.48387097</v>
      </c>
      <c r="G8" s="3"/>
      <c r="H8" s="61">
        <f t="shared" ref="H8:I8" si="1">D8</f>
        <v>90</v>
      </c>
      <c r="I8" s="62">
        <f t="shared" si="1"/>
        <v>64.51612903</v>
      </c>
      <c r="J8" s="3"/>
      <c r="K8" s="58"/>
      <c r="L8" s="63">
        <f>D8</f>
        <v>90</v>
      </c>
      <c r="M8" s="38"/>
      <c r="N8" s="64">
        <v>10.0</v>
      </c>
      <c r="O8" s="65">
        <v>2.0</v>
      </c>
      <c r="P8" s="66">
        <f t="shared" ref="P8:P30" si="5">(O8/N8)</f>
        <v>0.2</v>
      </c>
      <c r="Q8" s="3"/>
      <c r="R8" s="8"/>
      <c r="S8" s="8"/>
      <c r="T8" s="3"/>
    </row>
    <row r="9">
      <c r="A9" s="3"/>
      <c r="B9" s="57">
        <f>L2+1</f>
        <v>45293</v>
      </c>
      <c r="C9" s="38"/>
      <c r="D9" s="58">
        <v>50.0</v>
      </c>
      <c r="E9" s="59">
        <f t="shared" si="2"/>
        <v>64.51612903</v>
      </c>
      <c r="F9" s="60">
        <f t="shared" si="3"/>
        <v>-14.51612903</v>
      </c>
      <c r="G9" s="3"/>
      <c r="H9" s="61">
        <f t="shared" ref="H9:I9" si="4">D9+H8</f>
        <v>140</v>
      </c>
      <c r="I9" s="62">
        <f t="shared" si="4"/>
        <v>129.0322581</v>
      </c>
      <c r="J9" s="3"/>
      <c r="K9" s="58" t="str">
        <f t="shared" ref="K9:K30" si="7">IF(D9="",($E$39-H9)/(COUNT($B$8:$B$38)-COUNT($D$8:$D$38)),"")</f>
        <v/>
      </c>
      <c r="L9" s="63">
        <f t="shared" ref="L9:L30" si="8">IF(D9="",L8+E9,L8+D9)</f>
        <v>140</v>
      </c>
      <c r="M9" s="38"/>
      <c r="N9" s="64">
        <v>3.0</v>
      </c>
      <c r="O9" s="65">
        <v>2.0</v>
      </c>
      <c r="P9" s="66">
        <f t="shared" si="5"/>
        <v>0.6666666667</v>
      </c>
      <c r="Q9" s="3"/>
      <c r="R9" s="8"/>
      <c r="S9" s="8"/>
      <c r="T9" s="3"/>
    </row>
    <row r="10">
      <c r="A10" s="3"/>
      <c r="B10" s="57">
        <f>L2+2</f>
        <v>45294</v>
      </c>
      <c r="C10" s="38"/>
      <c r="D10" s="58">
        <v>120.0</v>
      </c>
      <c r="E10" s="59">
        <f t="shared" si="2"/>
        <v>64.51612903</v>
      </c>
      <c r="F10" s="60">
        <f t="shared" si="3"/>
        <v>55.48387097</v>
      </c>
      <c r="G10" s="3"/>
      <c r="H10" s="61">
        <f t="shared" ref="H10:I10" si="6">D10+H9</f>
        <v>260</v>
      </c>
      <c r="I10" s="62">
        <f t="shared" si="6"/>
        <v>193.5483871</v>
      </c>
      <c r="J10" s="3"/>
      <c r="K10" s="58" t="str">
        <f t="shared" si="7"/>
        <v/>
      </c>
      <c r="L10" s="63">
        <f t="shared" si="8"/>
        <v>260</v>
      </c>
      <c r="M10" s="38"/>
      <c r="N10" s="64">
        <v>20.0</v>
      </c>
      <c r="O10" s="65">
        <v>20.0</v>
      </c>
      <c r="P10" s="66">
        <f t="shared" si="5"/>
        <v>1</v>
      </c>
      <c r="Q10" s="3"/>
      <c r="R10" s="8"/>
      <c r="S10" s="8"/>
      <c r="T10" s="3"/>
    </row>
    <row r="11">
      <c r="A11" s="3"/>
      <c r="B11" s="57">
        <f>L2+3</f>
        <v>45295</v>
      </c>
      <c r="C11" s="38"/>
      <c r="D11" s="58">
        <v>90.0</v>
      </c>
      <c r="E11" s="59">
        <f t="shared" si="2"/>
        <v>64.51612903</v>
      </c>
      <c r="F11" s="60">
        <f t="shared" si="3"/>
        <v>25.48387097</v>
      </c>
      <c r="G11" s="3"/>
      <c r="H11" s="61">
        <f t="shared" ref="H11:I11" si="9">D11+H10</f>
        <v>350</v>
      </c>
      <c r="I11" s="62">
        <f t="shared" si="9"/>
        <v>258.0645161</v>
      </c>
      <c r="J11" s="3"/>
      <c r="K11" s="58" t="str">
        <f t="shared" si="7"/>
        <v/>
      </c>
      <c r="L11" s="63">
        <f t="shared" si="8"/>
        <v>350</v>
      </c>
      <c r="M11" s="38"/>
      <c r="N11" s="64">
        <v>5.0</v>
      </c>
      <c r="O11" s="65">
        <v>3.0</v>
      </c>
      <c r="P11" s="66">
        <f t="shared" si="5"/>
        <v>0.6</v>
      </c>
      <c r="Q11" s="3"/>
      <c r="R11" s="8"/>
      <c r="S11" s="8"/>
      <c r="T11" s="3"/>
    </row>
    <row r="12">
      <c r="A12" s="3"/>
      <c r="B12" s="57">
        <f>L2+4</f>
        <v>45296</v>
      </c>
      <c r="C12" s="38"/>
      <c r="D12" s="58">
        <v>50.0</v>
      </c>
      <c r="E12" s="59">
        <f t="shared" si="2"/>
        <v>64.51612903</v>
      </c>
      <c r="F12" s="60">
        <f t="shared" si="3"/>
        <v>-14.51612903</v>
      </c>
      <c r="G12" s="3"/>
      <c r="H12" s="61">
        <f t="shared" ref="H12:I12" si="10">D12+H11</f>
        <v>400</v>
      </c>
      <c r="I12" s="62">
        <f t="shared" si="10"/>
        <v>322.5806452</v>
      </c>
      <c r="J12" s="3"/>
      <c r="K12" s="58" t="str">
        <f t="shared" si="7"/>
        <v/>
      </c>
      <c r="L12" s="63">
        <f t="shared" si="8"/>
        <v>400</v>
      </c>
      <c r="M12" s="38"/>
      <c r="N12" s="64">
        <v>6.0</v>
      </c>
      <c r="O12" s="65">
        <v>3.0</v>
      </c>
      <c r="P12" s="66">
        <f t="shared" si="5"/>
        <v>0.5</v>
      </c>
      <c r="Q12" s="3"/>
      <c r="R12" s="8"/>
      <c r="S12" s="8"/>
      <c r="T12" s="3"/>
    </row>
    <row r="13">
      <c r="A13" s="3"/>
      <c r="B13" s="57">
        <f>L2+5</f>
        <v>45297</v>
      </c>
      <c r="C13" s="38"/>
      <c r="D13" s="58">
        <v>70.0</v>
      </c>
      <c r="E13" s="59">
        <f t="shared" si="2"/>
        <v>64.51612903</v>
      </c>
      <c r="F13" s="60">
        <f t="shared" si="3"/>
        <v>5.483870968</v>
      </c>
      <c r="G13" s="3"/>
      <c r="H13" s="61">
        <f t="shared" ref="H13:I13" si="11">D13+H12</f>
        <v>470</v>
      </c>
      <c r="I13" s="62">
        <f t="shared" si="11"/>
        <v>387.0967742</v>
      </c>
      <c r="J13" s="3"/>
      <c r="K13" s="58" t="str">
        <f t="shared" si="7"/>
        <v/>
      </c>
      <c r="L13" s="63">
        <f t="shared" si="8"/>
        <v>470</v>
      </c>
      <c r="M13" s="38"/>
      <c r="N13" s="64">
        <v>7.0</v>
      </c>
      <c r="O13" s="65">
        <v>4.0</v>
      </c>
      <c r="P13" s="66">
        <f t="shared" si="5"/>
        <v>0.5714285714</v>
      </c>
      <c r="Q13" s="3"/>
      <c r="R13" s="8"/>
      <c r="S13" s="8"/>
      <c r="T13" s="3"/>
    </row>
    <row r="14">
      <c r="A14" s="3"/>
      <c r="B14" s="57">
        <f>L2+6</f>
        <v>45298</v>
      </c>
      <c r="C14" s="38"/>
      <c r="D14" s="58">
        <v>60.0</v>
      </c>
      <c r="E14" s="59">
        <f t="shared" si="2"/>
        <v>64.51612903</v>
      </c>
      <c r="F14" s="60">
        <f t="shared" si="3"/>
        <v>-4.516129032</v>
      </c>
      <c r="G14" s="3"/>
      <c r="H14" s="61">
        <f t="shared" ref="H14:I14" si="12">D14+H13</f>
        <v>530</v>
      </c>
      <c r="I14" s="62">
        <f t="shared" si="12"/>
        <v>451.6129032</v>
      </c>
      <c r="J14" s="3"/>
      <c r="K14" s="58" t="str">
        <f t="shared" si="7"/>
        <v/>
      </c>
      <c r="L14" s="63">
        <f t="shared" si="8"/>
        <v>530</v>
      </c>
      <c r="M14" s="38"/>
      <c r="N14" s="64">
        <v>9.0</v>
      </c>
      <c r="O14" s="65">
        <v>7.0</v>
      </c>
      <c r="P14" s="66">
        <f t="shared" si="5"/>
        <v>0.7777777778</v>
      </c>
      <c r="Q14" s="3"/>
      <c r="R14" s="8"/>
      <c r="S14" s="8"/>
      <c r="T14" s="3"/>
    </row>
    <row r="15">
      <c r="A15" s="3"/>
      <c r="B15" s="57">
        <f>L2+7</f>
        <v>45299</v>
      </c>
      <c r="C15" s="38"/>
      <c r="D15" s="58">
        <v>120.0</v>
      </c>
      <c r="E15" s="59">
        <f t="shared" si="2"/>
        <v>64.51612903</v>
      </c>
      <c r="F15" s="60">
        <f t="shared" si="3"/>
        <v>55.48387097</v>
      </c>
      <c r="G15" s="3"/>
      <c r="H15" s="61">
        <f t="shared" ref="H15:I15" si="13">D15+H14</f>
        <v>650</v>
      </c>
      <c r="I15" s="62">
        <f t="shared" si="13"/>
        <v>516.1290323</v>
      </c>
      <c r="J15" s="3"/>
      <c r="K15" s="58" t="str">
        <f t="shared" si="7"/>
        <v/>
      </c>
      <c r="L15" s="63">
        <f t="shared" si="8"/>
        <v>650</v>
      </c>
      <c r="M15" s="38"/>
      <c r="N15" s="64">
        <v>7.0</v>
      </c>
      <c r="O15" s="65">
        <v>5.0</v>
      </c>
      <c r="P15" s="66">
        <f t="shared" si="5"/>
        <v>0.7142857143</v>
      </c>
      <c r="Q15" s="3"/>
      <c r="R15" s="8"/>
      <c r="S15" s="8"/>
      <c r="T15" s="3"/>
    </row>
    <row r="16">
      <c r="A16" s="3"/>
      <c r="B16" s="57">
        <f>L2+8</f>
        <v>45300</v>
      </c>
      <c r="C16" s="38"/>
      <c r="D16" s="58">
        <v>90.0</v>
      </c>
      <c r="E16" s="59">
        <f t="shared" si="2"/>
        <v>64.51612903</v>
      </c>
      <c r="F16" s="60">
        <f t="shared" si="3"/>
        <v>25.48387097</v>
      </c>
      <c r="G16" s="3"/>
      <c r="H16" s="61">
        <f t="shared" ref="H16:I16" si="14">D16+H15</f>
        <v>740</v>
      </c>
      <c r="I16" s="62">
        <f t="shared" si="14"/>
        <v>580.6451613</v>
      </c>
      <c r="J16" s="3"/>
      <c r="K16" s="58" t="str">
        <f t="shared" si="7"/>
        <v/>
      </c>
      <c r="L16" s="63">
        <f t="shared" si="8"/>
        <v>740</v>
      </c>
      <c r="M16" s="38"/>
      <c r="N16" s="64">
        <v>5.0</v>
      </c>
      <c r="O16" s="65">
        <v>2.0</v>
      </c>
      <c r="P16" s="66">
        <f t="shared" si="5"/>
        <v>0.4</v>
      </c>
      <c r="Q16" s="3"/>
      <c r="R16" s="8"/>
      <c r="S16" s="8"/>
      <c r="T16" s="3"/>
    </row>
    <row r="17">
      <c r="A17" s="3"/>
      <c r="B17" s="57">
        <f>L2+9</f>
        <v>45301</v>
      </c>
      <c r="C17" s="38"/>
      <c r="D17" s="58">
        <v>67.0</v>
      </c>
      <c r="E17" s="59">
        <f t="shared" si="2"/>
        <v>64.51612903</v>
      </c>
      <c r="F17" s="60">
        <f t="shared" si="3"/>
        <v>2.483870968</v>
      </c>
      <c r="G17" s="3"/>
      <c r="H17" s="61">
        <f t="shared" ref="H17:I17" si="15">D17+H16</f>
        <v>807</v>
      </c>
      <c r="I17" s="62">
        <f t="shared" si="15"/>
        <v>645.1612903</v>
      </c>
      <c r="J17" s="3"/>
      <c r="K17" s="58" t="str">
        <f t="shared" si="7"/>
        <v/>
      </c>
      <c r="L17" s="63">
        <f t="shared" si="8"/>
        <v>807</v>
      </c>
      <c r="M17" s="38"/>
      <c r="N17" s="64">
        <v>3.0</v>
      </c>
      <c r="O17" s="65">
        <v>1.0</v>
      </c>
      <c r="P17" s="66">
        <f t="shared" si="5"/>
        <v>0.3333333333</v>
      </c>
      <c r="Q17" s="3"/>
      <c r="R17" s="8"/>
      <c r="S17" s="8"/>
      <c r="T17" s="3"/>
    </row>
    <row r="18">
      <c r="A18" s="3"/>
      <c r="B18" s="57">
        <f>L2+10</f>
        <v>45302</v>
      </c>
      <c r="C18" s="38"/>
      <c r="D18" s="58">
        <v>64.52</v>
      </c>
      <c r="E18" s="59">
        <f t="shared" si="2"/>
        <v>64.51612903</v>
      </c>
      <c r="F18" s="60">
        <f t="shared" si="3"/>
        <v>0.003870967742</v>
      </c>
      <c r="G18" s="3"/>
      <c r="H18" s="61">
        <f t="shared" ref="H18:I18" si="16">D18+H17</f>
        <v>871.52</v>
      </c>
      <c r="I18" s="62">
        <f t="shared" si="16"/>
        <v>709.6774194</v>
      </c>
      <c r="J18" s="3"/>
      <c r="K18" s="58" t="str">
        <f t="shared" si="7"/>
        <v/>
      </c>
      <c r="L18" s="63">
        <f t="shared" si="8"/>
        <v>871.52</v>
      </c>
      <c r="M18" s="38"/>
      <c r="N18" s="64">
        <v>13.0</v>
      </c>
      <c r="O18" s="65">
        <v>2.0</v>
      </c>
      <c r="P18" s="66">
        <f t="shared" si="5"/>
        <v>0.1538461538</v>
      </c>
      <c r="Q18" s="3"/>
      <c r="R18" s="8"/>
      <c r="S18" s="8"/>
      <c r="T18" s="3"/>
    </row>
    <row r="19">
      <c r="A19" s="3"/>
      <c r="B19" s="57">
        <f>L2+11</f>
        <v>45303</v>
      </c>
      <c r="C19" s="38"/>
      <c r="D19" s="58">
        <v>80.0</v>
      </c>
      <c r="E19" s="59">
        <f t="shared" si="2"/>
        <v>64.51612903</v>
      </c>
      <c r="F19" s="60">
        <f t="shared" si="3"/>
        <v>15.48387097</v>
      </c>
      <c r="G19" s="3"/>
      <c r="H19" s="61">
        <f t="shared" ref="H19:I19" si="17">D19+H18</f>
        <v>951.52</v>
      </c>
      <c r="I19" s="62">
        <f t="shared" si="17"/>
        <v>774.1935484</v>
      </c>
      <c r="J19" s="3"/>
      <c r="K19" s="58" t="str">
        <f t="shared" si="7"/>
        <v/>
      </c>
      <c r="L19" s="63">
        <f t="shared" si="8"/>
        <v>951.52</v>
      </c>
      <c r="M19" s="38"/>
      <c r="N19" s="64">
        <v>25.0</v>
      </c>
      <c r="O19" s="65">
        <v>14.0</v>
      </c>
      <c r="P19" s="66">
        <f t="shared" si="5"/>
        <v>0.56</v>
      </c>
      <c r="Q19" s="3"/>
      <c r="R19" s="8"/>
      <c r="S19" s="8"/>
      <c r="T19" s="3"/>
    </row>
    <row r="20">
      <c r="A20" s="3"/>
      <c r="B20" s="57">
        <f>L2+12</f>
        <v>45304</v>
      </c>
      <c r="C20" s="38"/>
      <c r="D20" s="58">
        <v>70.0</v>
      </c>
      <c r="E20" s="59">
        <f t="shared" si="2"/>
        <v>64.51612903</v>
      </c>
      <c r="F20" s="60">
        <f t="shared" si="3"/>
        <v>5.483870968</v>
      </c>
      <c r="G20" s="3"/>
      <c r="H20" s="61">
        <f t="shared" ref="H20:I20" si="18">D20+H19</f>
        <v>1021.52</v>
      </c>
      <c r="I20" s="62">
        <f t="shared" si="18"/>
        <v>838.7096774</v>
      </c>
      <c r="J20" s="3"/>
      <c r="K20" s="58" t="str">
        <f t="shared" si="7"/>
        <v/>
      </c>
      <c r="L20" s="63">
        <f t="shared" si="8"/>
        <v>1021.52</v>
      </c>
      <c r="M20" s="38"/>
      <c r="N20" s="64">
        <v>8.0</v>
      </c>
      <c r="O20" s="65">
        <v>5.0</v>
      </c>
      <c r="P20" s="66">
        <f t="shared" si="5"/>
        <v>0.625</v>
      </c>
      <c r="Q20" s="3"/>
      <c r="R20" s="8"/>
      <c r="S20" s="8"/>
      <c r="T20" s="3"/>
    </row>
    <row r="21" ht="15.75" customHeight="1">
      <c r="A21" s="3"/>
      <c r="B21" s="57">
        <f>L2+13</f>
        <v>45305</v>
      </c>
      <c r="C21" s="38"/>
      <c r="D21" s="58">
        <v>50.0</v>
      </c>
      <c r="E21" s="59">
        <f t="shared" si="2"/>
        <v>64.51612903</v>
      </c>
      <c r="F21" s="60">
        <f t="shared" si="3"/>
        <v>-14.51612903</v>
      </c>
      <c r="G21" s="3"/>
      <c r="H21" s="61">
        <f t="shared" ref="H21:I21" si="19">D21+H20</f>
        <v>1071.52</v>
      </c>
      <c r="I21" s="62">
        <f t="shared" si="19"/>
        <v>903.2258065</v>
      </c>
      <c r="J21" s="3"/>
      <c r="K21" s="58" t="str">
        <f t="shared" si="7"/>
        <v/>
      </c>
      <c r="L21" s="63">
        <f t="shared" si="8"/>
        <v>1071.52</v>
      </c>
      <c r="M21" s="38"/>
      <c r="N21" s="64">
        <v>6.0</v>
      </c>
      <c r="O21" s="65">
        <v>3.0</v>
      </c>
      <c r="P21" s="66">
        <f t="shared" si="5"/>
        <v>0.5</v>
      </c>
      <c r="Q21" s="3"/>
      <c r="R21" s="8"/>
      <c r="S21" s="8"/>
      <c r="T21" s="3"/>
    </row>
    <row r="22" ht="15.75" customHeight="1">
      <c r="A22" s="3"/>
      <c r="B22" s="57">
        <f>L2+14</f>
        <v>45306</v>
      </c>
      <c r="C22" s="38"/>
      <c r="D22" s="58">
        <v>90.0</v>
      </c>
      <c r="E22" s="59">
        <f t="shared" si="2"/>
        <v>64.51612903</v>
      </c>
      <c r="F22" s="60">
        <f t="shared" si="3"/>
        <v>25.48387097</v>
      </c>
      <c r="G22" s="3"/>
      <c r="H22" s="61">
        <f t="shared" ref="H22:I22" si="20">D22+H21</f>
        <v>1161.52</v>
      </c>
      <c r="I22" s="62">
        <f t="shared" si="20"/>
        <v>967.7419355</v>
      </c>
      <c r="J22" s="3"/>
      <c r="K22" s="58" t="str">
        <f t="shared" si="7"/>
        <v/>
      </c>
      <c r="L22" s="63">
        <f t="shared" si="8"/>
        <v>1161.52</v>
      </c>
      <c r="M22" s="38"/>
      <c r="N22" s="64">
        <v>4.0</v>
      </c>
      <c r="O22" s="65">
        <v>3.0</v>
      </c>
      <c r="P22" s="66">
        <f t="shared" si="5"/>
        <v>0.75</v>
      </c>
      <c r="Q22" s="3"/>
      <c r="R22" s="8"/>
      <c r="S22" s="8"/>
      <c r="T22" s="3"/>
    </row>
    <row r="23" ht="15.75" customHeight="1">
      <c r="A23" s="3"/>
      <c r="B23" s="57">
        <f>L2+15</f>
        <v>45307</v>
      </c>
      <c r="C23" s="38"/>
      <c r="D23" s="58">
        <v>80.0</v>
      </c>
      <c r="E23" s="59">
        <f t="shared" si="2"/>
        <v>64.51612903</v>
      </c>
      <c r="F23" s="60">
        <f t="shared" si="3"/>
        <v>15.48387097</v>
      </c>
      <c r="G23" s="3"/>
      <c r="H23" s="61">
        <f t="shared" ref="H23:I23" si="21">D23+H22</f>
        <v>1241.52</v>
      </c>
      <c r="I23" s="62">
        <f t="shared" si="21"/>
        <v>1032.258065</v>
      </c>
      <c r="J23" s="3"/>
      <c r="K23" s="58" t="str">
        <f t="shared" si="7"/>
        <v/>
      </c>
      <c r="L23" s="63">
        <f t="shared" si="8"/>
        <v>1241.52</v>
      </c>
      <c r="M23" s="38"/>
      <c r="N23" s="64">
        <v>3.0</v>
      </c>
      <c r="O23" s="65">
        <v>2.0</v>
      </c>
      <c r="P23" s="66">
        <f t="shared" si="5"/>
        <v>0.6666666667</v>
      </c>
      <c r="Q23" s="3"/>
      <c r="R23" s="8"/>
      <c r="S23" s="8"/>
      <c r="T23" s="3"/>
    </row>
    <row r="24" ht="15.75" customHeight="1">
      <c r="A24" s="3"/>
      <c r="B24" s="57">
        <f>L2+16</f>
        <v>45308</v>
      </c>
      <c r="C24" s="38"/>
      <c r="D24" s="58">
        <v>30.0</v>
      </c>
      <c r="E24" s="59">
        <f t="shared" si="2"/>
        <v>64.51612903</v>
      </c>
      <c r="F24" s="60">
        <f t="shared" si="3"/>
        <v>-34.51612903</v>
      </c>
      <c r="G24" s="3"/>
      <c r="H24" s="61">
        <f t="shared" ref="H24:I24" si="22">D24+H23</f>
        <v>1271.52</v>
      </c>
      <c r="I24" s="62">
        <f t="shared" si="22"/>
        <v>1096.774194</v>
      </c>
      <c r="J24" s="3"/>
      <c r="K24" s="58" t="str">
        <f t="shared" si="7"/>
        <v/>
      </c>
      <c r="L24" s="63">
        <f t="shared" si="8"/>
        <v>1271.52</v>
      </c>
      <c r="M24" s="38"/>
      <c r="N24" s="64">
        <v>7.0</v>
      </c>
      <c r="O24" s="65">
        <v>3.0</v>
      </c>
      <c r="P24" s="66">
        <f t="shared" si="5"/>
        <v>0.4285714286</v>
      </c>
      <c r="Q24" s="3"/>
      <c r="R24" s="8"/>
      <c r="S24" s="8"/>
      <c r="T24" s="3"/>
    </row>
    <row r="25" ht="15.75" customHeight="1">
      <c r="A25" s="3"/>
      <c r="B25" s="57">
        <f>L2+17</f>
        <v>45309</v>
      </c>
      <c r="C25" s="38"/>
      <c r="D25" s="58">
        <v>200.0</v>
      </c>
      <c r="E25" s="59">
        <f t="shared" si="2"/>
        <v>64.51612903</v>
      </c>
      <c r="F25" s="60">
        <f t="shared" si="3"/>
        <v>135.483871</v>
      </c>
      <c r="G25" s="3"/>
      <c r="H25" s="61">
        <f t="shared" ref="H25:I25" si="23">D25+H24</f>
        <v>1471.52</v>
      </c>
      <c r="I25" s="62">
        <f t="shared" si="23"/>
        <v>1161.290323</v>
      </c>
      <c r="J25" s="3"/>
      <c r="K25" s="58" t="str">
        <f t="shared" si="7"/>
        <v/>
      </c>
      <c r="L25" s="63">
        <f t="shared" si="8"/>
        <v>1471.52</v>
      </c>
      <c r="M25" s="38"/>
      <c r="N25" s="64">
        <v>8.0</v>
      </c>
      <c r="O25" s="65">
        <v>5.0</v>
      </c>
      <c r="P25" s="66">
        <f t="shared" si="5"/>
        <v>0.625</v>
      </c>
      <c r="Q25" s="3"/>
      <c r="R25" s="8"/>
      <c r="S25" s="8"/>
      <c r="T25" s="3"/>
    </row>
    <row r="26" ht="15.75" customHeight="1">
      <c r="A26" s="3"/>
      <c r="B26" s="57">
        <f>L2+18</f>
        <v>45310</v>
      </c>
      <c r="C26" s="38"/>
      <c r="D26" s="58">
        <v>40.0</v>
      </c>
      <c r="E26" s="59">
        <f t="shared" si="2"/>
        <v>64.51612903</v>
      </c>
      <c r="F26" s="60">
        <f t="shared" si="3"/>
        <v>-24.51612903</v>
      </c>
      <c r="G26" s="3"/>
      <c r="H26" s="61">
        <f t="shared" ref="H26:I26" si="24">D26+H25</f>
        <v>1511.52</v>
      </c>
      <c r="I26" s="62">
        <f t="shared" si="24"/>
        <v>1225.806452</v>
      </c>
      <c r="J26" s="3"/>
      <c r="K26" s="58" t="str">
        <f t="shared" si="7"/>
        <v/>
      </c>
      <c r="L26" s="63">
        <f t="shared" si="8"/>
        <v>1511.52</v>
      </c>
      <c r="M26" s="38"/>
      <c r="N26" s="64">
        <v>9.0</v>
      </c>
      <c r="O26" s="65">
        <v>6.0</v>
      </c>
      <c r="P26" s="66">
        <f t="shared" si="5"/>
        <v>0.6666666667</v>
      </c>
      <c r="Q26" s="3"/>
      <c r="R26" s="8"/>
      <c r="S26" s="8"/>
      <c r="T26" s="3"/>
    </row>
    <row r="27" ht="15.75" customHeight="1">
      <c r="A27" s="3"/>
      <c r="B27" s="57">
        <f>L2+19</f>
        <v>45311</v>
      </c>
      <c r="C27" s="38"/>
      <c r="D27" s="58">
        <v>30.0</v>
      </c>
      <c r="E27" s="59">
        <f t="shared" si="2"/>
        <v>64.51612903</v>
      </c>
      <c r="F27" s="60">
        <f t="shared" si="3"/>
        <v>-34.51612903</v>
      </c>
      <c r="G27" s="3"/>
      <c r="H27" s="61">
        <f t="shared" ref="H27:I27" si="25">D27+H26</f>
        <v>1541.52</v>
      </c>
      <c r="I27" s="62">
        <f t="shared" si="25"/>
        <v>1290.322581</v>
      </c>
      <c r="J27" s="3"/>
      <c r="K27" s="58" t="str">
        <f t="shared" si="7"/>
        <v/>
      </c>
      <c r="L27" s="63">
        <f t="shared" si="8"/>
        <v>1541.52</v>
      </c>
      <c r="M27" s="38"/>
      <c r="N27" s="64">
        <v>7.0</v>
      </c>
      <c r="O27" s="65">
        <v>4.0</v>
      </c>
      <c r="P27" s="66">
        <f t="shared" si="5"/>
        <v>0.5714285714</v>
      </c>
      <c r="Q27" s="3"/>
      <c r="R27" s="8"/>
      <c r="S27" s="8"/>
      <c r="T27" s="3"/>
    </row>
    <row r="28" ht="15.75" customHeight="1">
      <c r="A28" s="3"/>
      <c r="B28" s="57">
        <f>L2+20</f>
        <v>45312</v>
      </c>
      <c r="C28" s="38"/>
      <c r="D28" s="58">
        <v>20.0</v>
      </c>
      <c r="E28" s="59">
        <f t="shared" si="2"/>
        <v>64.51612903</v>
      </c>
      <c r="F28" s="60">
        <f t="shared" si="3"/>
        <v>-44.51612903</v>
      </c>
      <c r="G28" s="3"/>
      <c r="H28" s="61">
        <f t="shared" ref="H28:I28" si="26">D28+H27</f>
        <v>1561.52</v>
      </c>
      <c r="I28" s="62">
        <f t="shared" si="26"/>
        <v>1354.83871</v>
      </c>
      <c r="J28" s="3"/>
      <c r="K28" s="58" t="str">
        <f t="shared" si="7"/>
        <v/>
      </c>
      <c r="L28" s="63">
        <f t="shared" si="8"/>
        <v>1561.52</v>
      </c>
      <c r="M28" s="38"/>
      <c r="N28" s="64">
        <v>6.0</v>
      </c>
      <c r="O28" s="65">
        <v>5.0</v>
      </c>
      <c r="P28" s="66">
        <f t="shared" si="5"/>
        <v>0.8333333333</v>
      </c>
      <c r="Q28" s="3"/>
      <c r="R28" s="8"/>
      <c r="S28" s="8"/>
      <c r="T28" s="3"/>
    </row>
    <row r="29" ht="15.75" customHeight="1">
      <c r="A29" s="3"/>
      <c r="B29" s="57">
        <f>L2+21</f>
        <v>45313</v>
      </c>
      <c r="C29" s="38"/>
      <c r="D29" s="58">
        <v>150.0</v>
      </c>
      <c r="E29" s="59">
        <f t="shared" si="2"/>
        <v>64.51612903</v>
      </c>
      <c r="F29" s="60">
        <f t="shared" si="3"/>
        <v>85.48387097</v>
      </c>
      <c r="G29" s="3"/>
      <c r="H29" s="61">
        <f t="shared" ref="H29:I29" si="27">D29+H28</f>
        <v>1711.52</v>
      </c>
      <c r="I29" s="62">
        <f t="shared" si="27"/>
        <v>1419.354839</v>
      </c>
      <c r="J29" s="3"/>
      <c r="K29" s="58" t="str">
        <f t="shared" si="7"/>
        <v/>
      </c>
      <c r="L29" s="63">
        <f t="shared" si="8"/>
        <v>1711.52</v>
      </c>
      <c r="M29" s="38"/>
      <c r="N29" s="64">
        <v>8.0</v>
      </c>
      <c r="O29" s="65">
        <v>3.0</v>
      </c>
      <c r="P29" s="66">
        <f t="shared" si="5"/>
        <v>0.375</v>
      </c>
      <c r="Q29" s="3"/>
      <c r="R29" s="8"/>
      <c r="S29" s="8"/>
      <c r="T29" s="3"/>
    </row>
    <row r="30" ht="15.75" customHeight="1">
      <c r="A30" s="3"/>
      <c r="B30" s="57">
        <f>L2+22</f>
        <v>45314</v>
      </c>
      <c r="C30" s="38"/>
      <c r="D30" s="58">
        <v>90.0</v>
      </c>
      <c r="E30" s="59">
        <f t="shared" si="2"/>
        <v>64.51612903</v>
      </c>
      <c r="F30" s="60">
        <f t="shared" si="3"/>
        <v>25.48387097</v>
      </c>
      <c r="G30" s="3"/>
      <c r="H30" s="61">
        <f t="shared" ref="H30:I30" si="28">D30+H29</f>
        <v>1801.52</v>
      </c>
      <c r="I30" s="62">
        <f t="shared" si="28"/>
        <v>1483.870968</v>
      </c>
      <c r="J30" s="3"/>
      <c r="K30" s="58" t="str">
        <f t="shared" si="7"/>
        <v/>
      </c>
      <c r="L30" s="63">
        <f t="shared" si="8"/>
        <v>1801.52</v>
      </c>
      <c r="M30" s="38"/>
      <c r="N30" s="64">
        <v>7.0</v>
      </c>
      <c r="O30" s="65">
        <v>4.0</v>
      </c>
      <c r="P30" s="66">
        <f t="shared" si="5"/>
        <v>0.5714285714</v>
      </c>
      <c r="Q30" s="3"/>
      <c r="R30" s="8"/>
      <c r="S30" s="8"/>
      <c r="T30" s="3"/>
    </row>
    <row r="31" ht="15.75" customHeight="1">
      <c r="A31" s="3"/>
      <c r="B31" s="57">
        <f>L2+23</f>
        <v>45315</v>
      </c>
      <c r="C31" s="38"/>
      <c r="D31" s="58"/>
      <c r="E31" s="59">
        <f t="shared" si="2"/>
        <v>64.51612903</v>
      </c>
      <c r="F31" s="60" t="str">
        <f t="shared" si="3"/>
        <v/>
      </c>
      <c r="G31" s="3"/>
      <c r="H31" s="61"/>
      <c r="I31" s="62"/>
      <c r="J31" s="3"/>
      <c r="K31" s="58"/>
      <c r="L31" s="63"/>
      <c r="M31" s="38"/>
      <c r="N31" s="64"/>
      <c r="O31" s="65"/>
      <c r="P31" s="66"/>
      <c r="Q31" s="3"/>
      <c r="R31" s="8"/>
      <c r="S31" s="8"/>
      <c r="T31" s="3"/>
    </row>
    <row r="32" ht="15.75" customHeight="1">
      <c r="A32" s="3"/>
      <c r="B32" s="57">
        <f>L2+24</f>
        <v>45316</v>
      </c>
      <c r="C32" s="38"/>
      <c r="D32" s="58"/>
      <c r="E32" s="59">
        <f t="shared" si="2"/>
        <v>64.51612903</v>
      </c>
      <c r="F32" s="60" t="str">
        <f t="shared" si="3"/>
        <v/>
      </c>
      <c r="G32" s="3"/>
      <c r="H32" s="61"/>
      <c r="I32" s="62"/>
      <c r="J32" s="3"/>
      <c r="K32" s="58"/>
      <c r="L32" s="63"/>
      <c r="M32" s="38"/>
      <c r="N32" s="64"/>
      <c r="O32" s="65"/>
      <c r="P32" s="66"/>
      <c r="Q32" s="3"/>
      <c r="R32" s="8"/>
      <c r="S32" s="8"/>
      <c r="T32" s="3"/>
    </row>
    <row r="33" ht="15.75" customHeight="1">
      <c r="A33" s="3"/>
      <c r="B33" s="57">
        <f>L2+25</f>
        <v>45317</v>
      </c>
      <c r="C33" s="38"/>
      <c r="D33" s="58"/>
      <c r="E33" s="59">
        <f t="shared" si="2"/>
        <v>64.51612903</v>
      </c>
      <c r="F33" s="60" t="str">
        <f t="shared" si="3"/>
        <v/>
      </c>
      <c r="G33" s="3"/>
      <c r="H33" s="61"/>
      <c r="I33" s="62"/>
      <c r="J33" s="3"/>
      <c r="K33" s="58"/>
      <c r="L33" s="63"/>
      <c r="M33" s="38"/>
      <c r="N33" s="64"/>
      <c r="O33" s="65"/>
      <c r="P33" s="66"/>
      <c r="Q33" s="3"/>
      <c r="R33" s="8"/>
      <c r="S33" s="8"/>
      <c r="T33" s="3"/>
    </row>
    <row r="34" ht="15.75" customHeight="1">
      <c r="A34" s="3"/>
      <c r="B34" s="57">
        <f>L2+26</f>
        <v>45318</v>
      </c>
      <c r="C34" s="38"/>
      <c r="D34" s="58"/>
      <c r="E34" s="59">
        <f t="shared" si="2"/>
        <v>64.51612903</v>
      </c>
      <c r="F34" s="60" t="str">
        <f t="shared" si="3"/>
        <v/>
      </c>
      <c r="G34" s="3"/>
      <c r="H34" s="61"/>
      <c r="I34" s="62"/>
      <c r="J34" s="3"/>
      <c r="K34" s="58"/>
      <c r="L34" s="63"/>
      <c r="M34" s="38"/>
      <c r="N34" s="64"/>
      <c r="O34" s="65"/>
      <c r="P34" s="66"/>
      <c r="Q34" s="3"/>
      <c r="R34" s="8"/>
      <c r="S34" s="8"/>
      <c r="T34" s="3"/>
    </row>
    <row r="35" ht="15.75" customHeight="1">
      <c r="A35" s="3"/>
      <c r="B35" s="57">
        <f>L2+27</f>
        <v>45319</v>
      </c>
      <c r="C35" s="38"/>
      <c r="D35" s="58"/>
      <c r="E35" s="59">
        <f t="shared" si="2"/>
        <v>64.51612903</v>
      </c>
      <c r="F35" s="60" t="str">
        <f t="shared" si="3"/>
        <v/>
      </c>
      <c r="G35" s="3"/>
      <c r="H35" s="61"/>
      <c r="I35" s="62"/>
      <c r="J35" s="3"/>
      <c r="K35" s="58"/>
      <c r="L35" s="63"/>
      <c r="M35" s="38"/>
      <c r="N35" s="64"/>
      <c r="O35" s="65"/>
      <c r="P35" s="66"/>
      <c r="Q35" s="3"/>
      <c r="R35" s="8"/>
      <c r="S35" s="8"/>
      <c r="T35" s="3"/>
    </row>
    <row r="36" ht="15.75" customHeight="1">
      <c r="A36" s="3"/>
      <c r="B36" s="57">
        <f>IF((DAY(L2+28) &gt; 10),L2+28,"")</f>
        <v>45320</v>
      </c>
      <c r="C36" s="38"/>
      <c r="D36" s="58"/>
      <c r="E36" s="59">
        <f>IF((DAY(L2+28) &gt; 10),L$4/(COUNT(B$8:B$38)),"")</f>
        <v>64.51612903</v>
      </c>
      <c r="F36" s="60" t="str">
        <f t="shared" si="3"/>
        <v/>
      </c>
      <c r="G36" s="3"/>
      <c r="H36" s="61"/>
      <c r="I36" s="62"/>
      <c r="J36" s="3"/>
      <c r="K36" s="58"/>
      <c r="L36" s="63"/>
      <c r="M36" s="38"/>
      <c r="N36" s="64"/>
      <c r="O36" s="65"/>
      <c r="P36" s="66"/>
      <c r="Q36" s="3"/>
      <c r="R36" s="8"/>
      <c r="S36" s="8"/>
      <c r="T36" s="3"/>
    </row>
    <row r="37" ht="15.75" customHeight="1">
      <c r="A37" s="3"/>
      <c r="B37" s="57">
        <f>IF((DAY(L2+29) &gt; 10),L2+29,"")</f>
        <v>45321</v>
      </c>
      <c r="C37" s="38"/>
      <c r="D37" s="58"/>
      <c r="E37" s="59">
        <f>IF((DAY(L2+29) &gt; 10),L$4/(COUNT(B$8:B$38)),"")</f>
        <v>64.51612903</v>
      </c>
      <c r="F37" s="60" t="str">
        <f t="shared" si="3"/>
        <v/>
      </c>
      <c r="G37" s="3"/>
      <c r="H37" s="61"/>
      <c r="I37" s="62"/>
      <c r="J37" s="3"/>
      <c r="K37" s="58"/>
      <c r="L37" s="63"/>
      <c r="M37" s="38"/>
      <c r="N37" s="64"/>
      <c r="O37" s="65"/>
      <c r="P37" s="66"/>
      <c r="Q37" s="3"/>
      <c r="R37" s="8"/>
      <c r="S37" s="8"/>
      <c r="T37" s="3"/>
    </row>
    <row r="38" ht="15.75" customHeight="1">
      <c r="A38" s="3"/>
      <c r="B38" s="67">
        <f>IF((DAY(L2+30) &gt; 10),L2+30,"")</f>
        <v>45322</v>
      </c>
      <c r="C38" s="38"/>
      <c r="D38" s="68"/>
      <c r="E38" s="59">
        <f>IF((DAY(L2+30) &gt; 10),L$4/(COUNT(B$8:B$38)),"")</f>
        <v>64.51612903</v>
      </c>
      <c r="F38" s="69" t="str">
        <f t="shared" si="3"/>
        <v/>
      </c>
      <c r="G38" s="3"/>
      <c r="H38" s="70"/>
      <c r="I38" s="71"/>
      <c r="J38" s="3"/>
      <c r="K38" s="68"/>
      <c r="L38" s="72"/>
      <c r="M38" s="38"/>
      <c r="N38" s="73"/>
      <c r="O38" s="74"/>
      <c r="P38" s="66"/>
      <c r="Q38" s="3"/>
      <c r="R38" s="8"/>
      <c r="S38" s="8"/>
      <c r="T38" s="3"/>
    </row>
    <row r="39" ht="15.75" customHeight="1">
      <c r="A39" s="3"/>
      <c r="B39" s="75" t="s">
        <v>28</v>
      </c>
      <c r="C39" s="38"/>
      <c r="D39" s="76">
        <f t="shared" ref="D39:F39" si="29">SUM(D8:D38)</f>
        <v>1801.52</v>
      </c>
      <c r="E39" s="77">
        <f t="shared" si="29"/>
        <v>2000</v>
      </c>
      <c r="F39" s="78">
        <f t="shared" si="29"/>
        <v>317.6490323</v>
      </c>
      <c r="G39" s="79"/>
      <c r="H39" s="80"/>
      <c r="I39" s="80"/>
      <c r="J39" s="81"/>
      <c r="K39" s="80"/>
      <c r="L39" s="80"/>
      <c r="M39" s="82"/>
      <c r="N39" s="83">
        <f t="shared" ref="N39:O39" si="30">SUM(N8:N38)</f>
        <v>186</v>
      </c>
      <c r="O39" s="84">
        <f t="shared" si="30"/>
        <v>108</v>
      </c>
      <c r="P39" s="85"/>
      <c r="Q39" s="86"/>
      <c r="R39" s="8"/>
      <c r="S39" s="8"/>
      <c r="T39" s="3"/>
    </row>
    <row r="40" ht="15.75" customHeight="1">
      <c r="A40" s="20"/>
      <c r="B40" s="87"/>
      <c r="C40" s="88"/>
      <c r="D40" s="19" t="s">
        <v>29</v>
      </c>
      <c r="E40" s="89">
        <f>AVERAGE(D8:D30)</f>
        <v>78.32695652</v>
      </c>
      <c r="F40" s="19"/>
      <c r="G40" s="8"/>
      <c r="H40" s="19"/>
      <c r="I40" s="19"/>
      <c r="J40" s="19"/>
      <c r="K40" s="19"/>
      <c r="L40" s="19"/>
      <c r="M40" s="19"/>
      <c r="N40" s="19"/>
      <c r="O40" s="90"/>
      <c r="P40" s="19"/>
      <c r="Q40" s="8"/>
      <c r="R40" s="8"/>
      <c r="S40" s="8"/>
      <c r="T40" s="3"/>
    </row>
    <row r="41" ht="15.75" customHeight="1">
      <c r="A41" s="20"/>
      <c r="B41" s="8"/>
      <c r="C41" s="8"/>
      <c r="D41" s="91" t="s">
        <v>30</v>
      </c>
      <c r="E41" s="91">
        <f>VARA(D8:D30)</f>
        <v>1674.738713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ht="15.75" customHeight="1">
      <c r="A42" s="20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ht="15.75" customHeight="1">
      <c r="A43" s="20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92"/>
    </row>
    <row r="44" ht="15.75" customHeight="1">
      <c r="A44" s="92"/>
      <c r="B44" s="93"/>
    </row>
    <row r="45" ht="15.75" customHeight="1"/>
    <row r="46" ht="15.75" customHeight="1"/>
    <row r="47" ht="15.75" customHeight="1"/>
    <row r="48" ht="15.75" customHeight="1">
      <c r="F48" s="93"/>
    </row>
    <row r="49" ht="15.75" customHeight="1">
      <c r="E49" s="94"/>
      <c r="F49" s="95">
        <v>40.024</v>
      </c>
    </row>
    <row r="50" ht="15.75" customHeight="1">
      <c r="E50" s="94"/>
      <c r="F50" s="95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6:F6"/>
    <mergeCell ref="H6:I6"/>
    <mergeCell ref="K6:K7"/>
    <mergeCell ref="L6:L7"/>
    <mergeCell ref="N6:N7"/>
    <mergeCell ref="O6:O7"/>
    <mergeCell ref="P6:P7"/>
    <mergeCell ref="A2:H2"/>
    <mergeCell ref="L2:M2"/>
    <mergeCell ref="B4:C4"/>
    <mergeCell ref="D4:F4"/>
    <mergeCell ref="I4:K4"/>
    <mergeCell ref="L4:M4"/>
    <mergeCell ref="B6:B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6" width="7.75"/>
  </cols>
  <sheetData>
    <row r="18">
      <c r="A18" s="93" t="s">
        <v>31</v>
      </c>
      <c r="B18" s="96">
        <f>joao!D39</f>
        <v>1801.52</v>
      </c>
    </row>
    <row r="19">
      <c r="A19" s="93" t="s">
        <v>32</v>
      </c>
      <c r="B19" s="96">
        <f>joao!E39</f>
        <v>2000</v>
      </c>
    </row>
    <row r="20">
      <c r="A20" s="93" t="s">
        <v>21</v>
      </c>
      <c r="B20" s="96" t="str">
        <f>joao!L38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2012-10-08T01:54:34Z</dcterms:created>
  <dc:creator>Net Planilhas</dc:creator>
</cp:coreProperties>
</file>